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irkerød Vandforsyning Amba (V02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3" i="32" l="1"/>
  <c r="E39" i="32" s="1"/>
  <c r="E41" i="32" s="1"/>
  <c r="E16" i="27" l="1"/>
  <c r="E11" i="11" l="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2" i="11"/>
  <c r="C10" i="37" s="1"/>
  <c r="C11" i="37" s="1"/>
  <c r="G12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2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<sst xmlns="http://schemas.openxmlformats.org/spreadsheetml/2006/main" count="592" uniqueCount="249">
  <si>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</si>
  <si>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</si>
  <si>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</si>
  <si>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</si>
  <si>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</si>
  <si>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</si>
  <si>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</si>
  <si>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</si>
  <si>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</si>
  <si>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</si>
  <si>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</si>
  <si>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</si>
  <si>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</si>
  <si>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</si>
  <si>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</si>
  <si>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</si>
  <si>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</si>
  <si>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</si>
  <si>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</si>
  <si>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</si>
  <si>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</si>
  <si>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</si>
  <si>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</si>
  <si>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</si>
  <si>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</si>
  <si>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</si>
  <si>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</si>
  <si>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</si>
  <si>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</si>
  <si>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</si>
  <si>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</si>
  <si>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</si>
  <si>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</si>
  <si>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</si>
  <si>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</si>
  <si>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</si>
  <si>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</si>
  <si>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</si>
  <si>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</si>
  <si>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</si>
  <si>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</si>
  <si>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</si>
  <si>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</si>
  <si>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</si>
  <si>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</si>
  <si>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</si>
  <si>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</si>
  <si>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</si>
  <si>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</si>
  <si>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</si>
  <si>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</si>
  <si>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</si>
  <si>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</si>
  <si>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</si>
  <si>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</si>
  <si>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</si>
  <si>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</si>
  <si>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</si>
  <si>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</si>
  <si>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</si>
  <si>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</si>
  <si>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</si>
  <si>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</si>
  <si>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</si>
  <si>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</si>
  <si>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</si>
  <si>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</si>
  <si>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</si>
  <si>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</si>
  <si>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</si>
  <si>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</si>
  <si>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</si>
  <si>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</si>
  <si>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</si>
  <si>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</si>
  <si>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</si>
  <si>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</si>
  <si>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</si>
  <si>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</si>
  <si>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</si>
  <si>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</si>
  <si>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</si>
  <si>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</si>
  <si>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</si>
  <si>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</si>
  <si>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</si>
  <si>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</si>
  <si>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</si>
  <si>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</si>
  <si>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</si>
  <si>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</si>
  <si>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</si>
  <si>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</si>
  <si>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</si>
  <si>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</si>
  <si>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</si>
  <si>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</si>
  <si>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</si>
  <si>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</si>
  <si>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</si>
  <si>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</si>
  <si>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</si>
  <si>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</si>
  <si>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</si>
  <si>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</si>
  <si>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</si>
  <si>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</si>
  <si>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</si>
  <si>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</si>
  <si>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</si>
  <si>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</si>
  <si>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</si>
  <si>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</si>
  <si>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</si>
  <si>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</si>
  <si>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</si>
  <si>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</si>
  <si>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</si>
  <si>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</si>
  <si>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</si>
  <si>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</si>
  <si>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</si>
  <si>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</si>
  <si>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</si>
  <si>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</si>
  <si>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</si>
  <si>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</si>
  <si>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</si>
  <si>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</si>
  <si>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</si>
  <si>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</si>
  <si>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</si>
  <si>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</si>
  <si>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</si>
  <si>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</si>
  <si>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</si>
  <si>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</si>
  <si>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</si>
  <si>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</si>
  <si>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</si>
  <si>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</si>
  <si>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</si>
  <si>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</si>
  <si>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</si>
  <si>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</si>
  <si>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</si>
  <si>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</si>
  <si>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</si>
  <si>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</si>
  <si>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</si>
  <si>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</si>
  <si>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</si>
  <si>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</si>
  <si>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</si>
  <si>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</si>
  <si>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</si>
  <si>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</si>
  <si>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</si>
  <si>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</si>
  <si>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</si>
  <si>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</si>
  <si>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</si>
  <si>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</si>
  <si>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</si>
  <si>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</si>
  <si>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</si>
  <si>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</si>
  <si>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</si>
  <si>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</si>
  <si>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</si>
  <si>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</si>
  <si>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</si>
  <si>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</si>
  <si>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</si>
  <si>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</si>
  <si>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</si>
  <si>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</si>
  <si>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</si>
  <si>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</si>
  <si>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</si>
  <si>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</si>
  <si>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</si>
  <si>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</si>
  <si>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</si>
  <si>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</si>
  <si>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</si>
  <si>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</si>
  <si>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</si>
  <si>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</si>
  <si>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</si>
  <si>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</si>
  <si>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</si>
  <si>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</si>
  <si>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</si>
  <si>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</si>
  <si>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</si>
  <si>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</si>
  <si>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</si>
  <si>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</si>
  <si>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</si>
  <si>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</si>
  <si>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</si>
  <si>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</si>
  <si>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</si>
  <si>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</si>
  <si>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</si>
  <si>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</si>
  <si>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</si>
  <si>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</si>
  <si>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</si>
  <si>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</si>
  <si>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</si>
  <si>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</si>
  <si>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</si>
  <si>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</si>
  <si>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</si>
  <si>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</si>
  <si>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</si>
  <si>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</si>
  <si>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</si>
  <si>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</si>
  <si>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</si>
  <si>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</si>
  <si>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</si>
  <si>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</si>
  <si>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</si>
  <si>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</si>
  <si>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</si>
  <si>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</si>
  <si>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</si>
  <si>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</si>
  <si>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</si>
  <si>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</si>
  <si>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</si>
  <si>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</si>
  <si>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</si>
  <si>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</si>
  <si>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</si>
  <si>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Erstatninger</t>
  </si>
  <si>
    <t>Ingen tilknyttet virksomhed</t>
  </si>
  <si>
    <t>Ingen bortfald eller nedsættelse</t>
  </si>
  <si>
    <t>Ingen engangstillæg</t>
  </si>
  <si>
    <t>Økonomisk ramme for 2024</t>
  </si>
  <si>
    <t>Beholderanlæg - vandtårn</t>
  </si>
  <si>
    <t>50</t>
  </si>
  <si>
    <t>Pumpestation (inkl. evt. hydrofor)/trykforøger, Mek./EL</t>
  </si>
  <si>
    <t>25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</si>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</sst>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4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4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4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7426750</v>
      </c>
      <c r="D10" s="14" t="s">
        <v>3</v>
      </c>
      <c r="E10" s="1"/>
      <c r="F10" s="1"/>
    </row>
    <row r="11" spans="1:6" ht="15" customHeight="1" x14ac:dyDescent="0.45">
      <c r="A11" s="1"/>
      <c r="B11" s="49" t="s">
        <v>235</v>
      </c>
      <c r="C11" s="9">
        <v>58044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47205.16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40330</v>
      </c>
      <c r="D13" s="14" t="s">
        <v>3</v>
      </c>
      <c r="E13" s="1"/>
      <c r="F13" s="1"/>
    </row>
    <row r="14" spans="1:6" x14ac:dyDescent="0.45">
      <c r="A14" s="1"/>
      <c r="B14" s="49" t="s">
        <v>238</v>
      </c>
      <c r="C14" s="9">
        <v>20026</v>
      </c>
      <c r="D14" s="14" t="s">
        <v>3</v>
      </c>
      <c r="E14" s="1"/>
      <c r="F14" s="1"/>
    </row>
    <row r="15" spans="1:6" x14ac:dyDescent="0.45">
      <c r="A15" s="1"/>
      <c r="B15" s="40" t="s">
        <v>169</v>
      </c>
      <c r="C15" s="12">
        <f>SUM(C10:C14)</f>
        <v>7592355.1600000001</v>
      </c>
      <c r="D15" s="13" t="s">
        <v>3</v>
      </c>
      <c r="E15" s="1"/>
      <c r="F15" s="1"/>
    </row>
    <row r="16" spans="1:6" x14ac:dyDescent="0.45">
      <c r="A16" s="1"/>
      <c r="B16" s="40" t="s">
        <v>170</v>
      </c>
      <c r="C16" s="12">
        <f>C15*(1+'Fane 12. Nøgletal'!C13)^2</f>
        <v>7778738.672046015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1" t="s">
        <v>172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-144617.35999999999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713138.58275381103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568521.22275381105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4" t="s">
        <v>132</v>
      </c>
      <c r="C11" s="75"/>
      <c r="D11" s="75"/>
      <c r="E11" s="75"/>
      <c r="F11" s="76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18469378.304338135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18878105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-408726.69566186517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4" t="s">
        <v>133</v>
      </c>
      <c r="C19" s="75"/>
      <c r="D19" s="75"/>
      <c r="E19" s="75"/>
      <c r="F19" s="7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16795613.427216738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21735063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-4939449.5727832615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4" t="s">
        <v>179</v>
      </c>
      <c r="C27" s="75"/>
      <c r="D27" s="75"/>
      <c r="E27" s="75"/>
      <c r="F27" s="76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18346301.103006043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19054395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-708093.89699395746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247</v>
      </c>
      <c r="C37" s="110"/>
      <c r="D37" s="111"/>
      <c r="E37" s="9">
        <v>0</v>
      </c>
      <c r="F37" s="14"/>
      <c r="G37" s="1"/>
    </row>
    <row r="38" spans="1:7" x14ac:dyDescent="0.45">
      <c r="A38" s="1"/>
      <c r="B38" s="109" t="s">
        <v>248</v>
      </c>
      <c r="C38" s="110"/>
      <c r="D38" s="111"/>
      <c r="E38" s="9">
        <v>0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-5647543.469777219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-2823771.7348886095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45">
      <c r="A10" s="1"/>
      <c r="B10" s="52" t="s">
        <v>243</v>
      </c>
      <c r="C10" s="53" t="s">
        <v>244</v>
      </c>
      <c r="D10" s="9">
        <v>2008523</v>
      </c>
      <c r="E10" s="9">
        <f>IFERROR(D10/C10,0)</f>
        <v>40170.46</v>
      </c>
      <c r="F10" s="9">
        <v>0</v>
      </c>
      <c r="G10" s="9">
        <v>0</v>
      </c>
      <c r="H10" s="14" t="s">
        <v>3</v>
      </c>
      <c r="I10" s="1"/>
    </row>
    <row r="11" spans="1:9" ht="39.75" x14ac:dyDescent="0.45">
      <c r="A11" s="1"/>
      <c r="B11" s="52" t="s">
        <v>245</v>
      </c>
      <c r="C11" s="53" t="s">
        <v>246</v>
      </c>
      <c r="D11" s="9">
        <v>32836</v>
      </c>
      <c r="E11" s="9">
        <f t="shared" ref="E11" si="0">IFERROR(D11/C11,0)</f>
        <v>1313.44</v>
      </c>
      <c r="F11" s="9">
        <v>0</v>
      </c>
      <c r="G11" s="9">
        <v>0</v>
      </c>
      <c r="H11" s="14" t="s">
        <v>3</v>
      </c>
      <c r="I11" s="1"/>
    </row>
    <row r="12" spans="1:9" x14ac:dyDescent="0.45">
      <c r="A12" s="1"/>
      <c r="B12" s="95" t="s">
        <v>198</v>
      </c>
      <c r="C12" s="96"/>
      <c r="D12" s="97"/>
      <c r="E12" s="12">
        <f>SUM(E10:E11)</f>
        <v>41483.9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41483.9</v>
      </c>
      <c r="F10" s="14" t="s">
        <v>3</v>
      </c>
      <c r="G10" s="1"/>
    </row>
    <row r="11" spans="1:7" x14ac:dyDescent="0.45">
      <c r="A11" s="1"/>
      <c r="B11" s="40" t="s">
        <v>48</v>
      </c>
      <c r="C11" s="12">
        <f>SUM(C10:C10)</f>
        <v>0</v>
      </c>
      <c r="D11" s="13" t="s">
        <v>3</v>
      </c>
      <c r="E11" s="12">
        <f>SUM(E10:E10)</f>
        <v>41483.9</v>
      </c>
      <c r="F11" s="13" t="s">
        <v>3</v>
      </c>
      <c r="G11" s="1"/>
    </row>
    <row r="12" spans="1:7" x14ac:dyDescent="0.45">
      <c r="A12" s="1"/>
      <c r="B12" s="40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41990.003580000004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ZzkE1rRjHGE3G47Zy+e7VWjOCKO/6wYYl4XlRXOzm1qA8VwL9IrOBUvMf4sbKQ5mrKYAgiqV7vdPyp2VYxrenw==" saltValue="pWYAwCfXYBpcKZJSZLIOM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IbuLs+e7iKaCwZ8Bm62IXlZXWZZ6LhK3WIls9bdfuyU0WFAMvlXyBQABb2QoACawyrWN29liZD7K+5jzATXGyA==" saltValue="EpUkYlmJmPVHHVzm/CxzF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211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9830808.1702469215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41990.003580000004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120448.13772068845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-118932.60868200485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-111404.65992857738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9762909.0429370292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omk.'!C16</f>
        <v>7778738.672046015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-2823771.7348886095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14717875.980094437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9762909.0429370292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119107.49032383176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-117975.9147777668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-109662.7923682641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9654377.8261148296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omk.'!C16*(1+'Fane 12. Nøgletal'!C13)</f>
        <v>7873639.2838449767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-2823771.7348886095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14704245.375071198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9654377.8261148296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117783.40947860092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-117026.91651929443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-107948.15977819011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9547186.1592959464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Nøgletal'!C13)^2</f>
        <v>7969697.6831078855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17516883.842403833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9547186.1592959464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116475.67114341055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-116085.55200281325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-106260.33632597822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9441315.9421105646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Nøgletal'!C13)^3</f>
        <v>8066927.9948418019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242</v>
      </c>
      <c r="C22" s="12">
        <f>SUM(C15,C17,C21)</f>
        <v>17508243.936952367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2" t="s">
        <v>23</v>
      </c>
      <c r="C9" s="93"/>
      <c r="D9" s="94"/>
      <c r="E9" s="7">
        <v>9583681.706976153</v>
      </c>
      <c r="F9" s="8" t="s">
        <v>3</v>
      </c>
      <c r="G9" s="1"/>
    </row>
    <row r="10" spans="1:7" ht="15" customHeight="1" x14ac:dyDescent="0.45">
      <c r="A10" s="1"/>
      <c r="B10" s="77" t="s">
        <v>45</v>
      </c>
      <c r="C10" s="78"/>
      <c r="D10" s="79"/>
      <c r="E10" s="7">
        <v>125339.48460000001</v>
      </c>
      <c r="F10" s="8" t="s">
        <v>3</v>
      </c>
      <c r="G10" s="1"/>
    </row>
    <row r="11" spans="1:7" ht="15" customHeight="1" x14ac:dyDescent="0.45">
      <c r="A11" s="1"/>
      <c r="B11" s="77" t="s">
        <v>46</v>
      </c>
      <c r="C11" s="78"/>
      <c r="D11" s="79"/>
      <c r="E11" s="9">
        <v>112070.53638000001</v>
      </c>
      <c r="F11" s="8" t="s">
        <v>3</v>
      </c>
      <c r="G11" s="1"/>
    </row>
    <row r="12" spans="1:7" x14ac:dyDescent="0.4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4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18</v>
      </c>
      <c r="C16" s="78"/>
      <c r="D16" s="79"/>
      <c r="E16" s="9">
        <f>E9*'Fane 12. Nøgletal'!C11+SUM(E10:E15)*'Fane 12. Nøgletal'!C12</f>
        <v>166641.19826120298</v>
      </c>
      <c r="F16" s="8" t="s">
        <v>3</v>
      </c>
      <c r="G16" s="1"/>
    </row>
    <row r="17" spans="1:7" x14ac:dyDescent="0.45">
      <c r="A17" s="1"/>
      <c r="B17" s="77" t="s">
        <v>9</v>
      </c>
      <c r="C17" s="78"/>
      <c r="D17" s="79"/>
      <c r="E17" s="9">
        <f>-SUM(E9:E16)*'Fane 5. Individuelt eff. krav'!G9</f>
        <v>0</v>
      </c>
      <c r="F17" s="8" t="s">
        <v>3</v>
      </c>
      <c r="G17" s="1"/>
    </row>
    <row r="18" spans="1:7" x14ac:dyDescent="0.45">
      <c r="A18" s="1"/>
      <c r="B18" s="77" t="s">
        <v>27</v>
      </c>
      <c r="C18" s="78"/>
      <c r="D18" s="79"/>
      <c r="E18" s="9">
        <f>-'Fane 4.1. Gen. krav - drift'!G25</f>
        <v>-119897.06063777511</v>
      </c>
      <c r="F18" s="8" t="s">
        <v>3</v>
      </c>
      <c r="G18" s="1"/>
    </row>
    <row r="19" spans="1:7" x14ac:dyDescent="0.45">
      <c r="A19" s="1"/>
      <c r="B19" s="77" t="s">
        <v>28</v>
      </c>
      <c r="C19" s="78"/>
      <c r="D19" s="79"/>
      <c r="E19" s="9">
        <f>-'Fane 4.2. Gen. krav - anlæg'!G25</f>
        <v>-37027.695332659081</v>
      </c>
      <c r="F19" s="8" t="s">
        <v>3</v>
      </c>
      <c r="G19" s="1"/>
    </row>
    <row r="20" spans="1:7" x14ac:dyDescent="0.45">
      <c r="A20" s="1"/>
      <c r="B20" s="80" t="s">
        <v>20</v>
      </c>
      <c r="C20" s="81"/>
      <c r="D20" s="82"/>
      <c r="E20" s="10">
        <f>SUM(E9:E19)</f>
        <v>9830808.1702469215</v>
      </c>
      <c r="F20" s="11" t="s">
        <v>3</v>
      </c>
      <c r="G20" s="1"/>
    </row>
    <row r="21" spans="1:7" x14ac:dyDescent="0.45">
      <c r="A21" s="1"/>
      <c r="B21" s="89" t="s">
        <v>12</v>
      </c>
      <c r="C21" s="90"/>
      <c r="D21" s="90"/>
      <c r="E21" s="41"/>
      <c r="F21" s="20"/>
      <c r="G21" s="1"/>
    </row>
    <row r="22" spans="1:7" x14ac:dyDescent="0.45">
      <c r="A22" s="1"/>
      <c r="B22" s="83" t="s">
        <v>12</v>
      </c>
      <c r="C22" s="84"/>
      <c r="D22" s="85"/>
      <c r="E22" s="10">
        <v>11193181.53682212</v>
      </c>
      <c r="F22" s="11" t="s">
        <v>3</v>
      </c>
      <c r="G22" s="1"/>
    </row>
    <row r="23" spans="1:7" ht="15" customHeight="1" x14ac:dyDescent="0.45">
      <c r="A23" s="1"/>
      <c r="B23" s="89" t="s">
        <v>99</v>
      </c>
      <c r="C23" s="90"/>
      <c r="D23" s="90"/>
      <c r="E23" s="41"/>
      <c r="F23" s="41"/>
      <c r="G23" s="1"/>
    </row>
    <row r="24" spans="1:7" ht="14.25" customHeight="1" x14ac:dyDescent="0.4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4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4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6" t="s">
        <v>229</v>
      </c>
      <c r="C28" s="87"/>
      <c r="D28" s="88"/>
      <c r="E28" s="10">
        <v>0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6" t="s">
        <v>231</v>
      </c>
      <c r="C30" s="87"/>
      <c r="D30" s="88"/>
      <c r="E30" s="10">
        <v>79897.263545972935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3" t="s">
        <v>233</v>
      </c>
      <c r="C32" s="84"/>
      <c r="D32" s="85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21103886.970615014</v>
      </c>
      <c r="F33" s="13" t="s">
        <v>3</v>
      </c>
      <c r="G33" s="1"/>
    </row>
    <row r="34" spans="1:7" ht="28.15" customHeight="1" x14ac:dyDescent="0.45">
      <c r="A34" s="1"/>
      <c r="B34" s="74" t="s">
        <v>179</v>
      </c>
      <c r="C34" s="75"/>
      <c r="D34" s="75"/>
      <c r="E34" s="75"/>
      <c r="F34" s="76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5943631.9024709687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118872.63804941937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5898733.707079703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117974.67414159406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5878453.8605947625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8830.9841435838007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117745.69689476694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5867044.3594421353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127808.67244662001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119897.06063777511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5946630.4341002423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118932.60868200485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5898795.7388883401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117975.9147777668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5851345.8259647219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117026.91651929443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5804277.6001406619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116085.55200281325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3664696.0084895384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33348.733677254801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3677465.385202399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33464.935005341831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3705584.0578053873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146406.42389635605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33512.317190805166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3883010.4454911728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114278.325946686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37027.695332659081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4008576.2612336832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42502.281623676005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111404.65992857738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3987737.9043005127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109662.7923682641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3925387.6282978221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107948.15977819011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3864012.2300355714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106260.33632597822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0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0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2020-10-20T07:45:16Z</dcterms:modified>
</cp:coreProperties>
</file>