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Padborg Vandværk AMBA (V14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20" i="5" l="1"/>
  <c r="E20" i="4"/>
  <c r="E20" i="3"/>
  <c r="E27" i="2"/>
  <c r="E25" i="8" l="1"/>
  <c r="E33" i="8" l="1"/>
  <c r="E35" i="8" s="1"/>
  <c r="E29" i="8"/>
  <c r="E25" i="2" s="1"/>
  <c r="E10" i="2"/>
  <c r="E15" i="6"/>
  <c r="E22" i="5" l="1"/>
  <c r="E22" i="4"/>
  <c r="E22" i="3"/>
  <c r="C11" i="12"/>
  <c r="C12" i="12" s="1"/>
  <c r="C13" i="7"/>
  <c r="C14" i="7" s="1"/>
  <c r="E16" i="6" l="1"/>
  <c r="E17" i="6" s="1"/>
  <c r="E27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9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7" i="3" s="1"/>
  <c r="C19" i="11"/>
  <c r="C20" i="11" s="1"/>
  <c r="E16" i="3" s="1"/>
  <c r="E18" i="5" l="1"/>
  <c r="E21" i="2"/>
  <c r="E18" i="4"/>
  <c r="E20" i="2"/>
  <c r="E18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4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30" i="2" s="1"/>
  <c r="E8" i="3" l="1"/>
  <c r="E10" i="3" s="1"/>
  <c r="E11" i="3" s="1"/>
  <c r="E12" i="3" s="1"/>
  <c r="E23" i="3" s="1"/>
  <c r="E8" i="4" l="1"/>
  <c r="E10" i="4" l="1"/>
  <c r="E11" i="4" s="1"/>
  <c r="E12" i="4" s="1"/>
  <c r="E23" i="4" s="1"/>
  <c r="E8" i="5" l="1"/>
  <c r="E10" i="5" l="1"/>
  <c r="E11" i="5" l="1"/>
  <c r="E12" i="5" s="1"/>
  <c r="E23" i="5" s="1"/>
</calcChain>
</file>

<file path=xl/sharedStrings.xml><?xml version="1.0" encoding="utf-8"?>
<sst xmlns="http://schemas.openxmlformats.org/spreadsheetml/2006/main" count="417" uniqueCount="153">
  <si>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</si>
  <si>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</si>
  <si>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</si>
  <si>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</si>
  <si>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</si>
  <si>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</si>
  <si>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</si>
  <si>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</si>
  <si>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</si>
  <si>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</si>
  <si>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</si>
  <si>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</si>
  <si>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</si>
  <si>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</si>
  <si>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</si>
  <si>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</si>
  <si>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</si>
  <si>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</si>
  <si>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</si>
  <si>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</si>
  <si>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</si>
  <si>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</si>
  <si>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</si>
  <si>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</si>
  <si>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</si>
  <si>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</si>
  <si>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</si>
  <si>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</si>
  <si>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</si>
  <si>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</si>
  <si>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</si>
  <si>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</si>
  <si>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</si>
  <si>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</si>
  <si>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</si>
  <si>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</si>
  <si>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</si>
  <si>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</si>
  <si>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</si>
  <si>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</si>
  <si>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</si>
  <si>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</si>
  <si>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</si>
  <si>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</si>
  <si>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</si>
  <si>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</si>
  <si>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</si>
  <si>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</si>
  <si>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</si>
  <si>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</si>
  <si>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</si>
  <si>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</si>
  <si>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</si>
  <si>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</si>
  <si>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</si>
  <si>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</si>
  <si>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</si>
  <si>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</si>
  <si>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</si>
  <si>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</si>
  <si>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</si>
  <si>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</si>
  <si>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</si>
  <si>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</si>
  <si>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</si>
  <si>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</si>
  <si>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</si>
  <si>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</si>
  <si>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</si>
  <si>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</si>
  <si>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</si>
  <si>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</si>
  <si>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</si>
  <si>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</si>
  <si>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</si>
  <si>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</si>
  <si>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</si>
  <si>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</si>
  <si>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</si>
  <si>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</si>
  <si>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</si>
  <si>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</si>
  <si>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</si>
  <si>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</si>
  <si>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</si>
  <si>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</si>
  <si>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</si>
  <si>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</si>
  <si>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</si>
  <si>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</si>
  <si>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</si>
  <si>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</si>
  <si>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</si>
  <si>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</si>
  <si>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</si>
  <si>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</si>
  <si>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</si>
  <si>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</si>
  <si>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</si>
  <si>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</si>
  <si>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</si>
  <si>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</si>
  <si>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</si>
  <si>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</si>
  <si>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</si>
  <si>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</si>
  <si>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</si>
  <si>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</si>
  <si>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</si>
  <si>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</si>
  <si>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</si>
  <si>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</si>
  <si>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</si>
  <si>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</si>
  <si>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</si>
  <si>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</si>
  <si>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</si>
  <si>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</si>
  <si>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</si>
  <si>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</si>
  <si>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</si>
  <si>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</si>
  <si>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</si>
  <si>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</si>
  <si>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</si>
  <si>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</si>
  <si>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</si>
  <si>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</si>
  <si>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</si>
  <si>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</si>
  <si>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</si>
  <si>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</si>
  <si>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</si>
  <si>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</si>
  <si>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</si>
  <si>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Fane 7: Kontrol med overholdelse af den økonomiske ramme for 2020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</si>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</sst>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2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2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2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2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2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0RinyFjyhWCbYGdfZn5rsBLmYxKrVTe11tSbnflhvW2A1HiCXjz+TasivC2TdCpTAzfLl5MGrE/klxPsVqL2w==" saltValue="yaqHzj2YxR0/6FK8HbFyA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+xAorOm6LUEscARDPlGoUFuCDxzJTaFAaS2lIiOk1s3QCczfjmFArhTvIz6SR7jD52JSQdiQGt1rFUr036h/kA==" saltValue="npeJ6lfmkfIPJFhTpmboR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51</v>
      </c>
      <c r="C8" s="89"/>
      <c r="D8" s="89"/>
      <c r="E8" s="89"/>
      <c r="F8" s="90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2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52</v>
      </c>
      <c r="C15" s="89"/>
      <c r="D15" s="89"/>
      <c r="E15" s="89"/>
      <c r="F15" s="90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2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8" t="s">
        <v>77</v>
      </c>
      <c r="C22" s="89"/>
      <c r="D22" s="89"/>
      <c r="E22" s="89"/>
      <c r="F22" s="90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2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8" t="s">
        <v>112</v>
      </c>
      <c r="C29" s="89"/>
      <c r="D29" s="89"/>
      <c r="E29" s="89"/>
      <c r="F29" s="90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2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oRb+Qc6W8VoN9csvDrDhR+XFnKahYZQrmsZNsYlS9KqBuY9z9Hz2BNd2V8+osynkM+HhHnV00rk3op2sQHymA==" saltValue="T1xhQn6TPosoMHJLYS/XA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rh9W53eueg4ij/LKt3en2POrSOw86WqW0ds/JZYZM7x3MQZjVcBZLJaGXltS7hxi3iQ0NFtpvAEBytW3xOVTdg==" saltValue="41FMmWNC6Yz3rGBKW/qUk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2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2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49</v>
      </c>
      <c r="C14" s="89"/>
      <c r="D14" s="89"/>
      <c r="E14" s="89"/>
      <c r="F14" s="90"/>
      <c r="G14" s="1"/>
    </row>
    <row r="15" spans="1:7" ht="26.25" x14ac:dyDescent="0.2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2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73</v>
      </c>
      <c r="C20" s="89"/>
      <c r="D20" s="89"/>
      <c r="E20" s="89"/>
      <c r="F20" s="90"/>
      <c r="G20" s="1"/>
    </row>
    <row r="21" spans="1:7" ht="26.25" x14ac:dyDescent="0.2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2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116</v>
      </c>
      <c r="C26" s="89"/>
      <c r="D26" s="89"/>
      <c r="E26" s="89"/>
      <c r="F26" s="90"/>
      <c r="G26" s="1"/>
    </row>
    <row r="27" spans="1:7" ht="26.25" x14ac:dyDescent="0.2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2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vUulDfKX+rlTg+EgFAPU67pN0boU70SVomq5rllA6GVn44MRdGoBlS9/ChNdrDa+Qny3h8gOiRd4bRl+MDHVA==" saltValue="EQaQd0HtwdiQRqxAANbR/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93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6" t="s">
        <v>14</v>
      </c>
      <c r="C8" s="57"/>
      <c r="D8" s="1"/>
    </row>
    <row r="9" spans="1:4" x14ac:dyDescent="0.25">
      <c r="A9" s="1"/>
      <c r="B9" s="28" t="s">
        <v>127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6"/>
      <c r="C15" s="5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6" t="s">
        <v>54</v>
      </c>
      <c r="C18" s="57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6"/>
      <c r="C20" s="107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92fHHwGpSgOCIRJwKBKS5cktTb1KFg0/UmjzWeI7qncKB59UFaO32T2K9/iMUoxIfHYOpHFkXWMQrrs53OVvAw==" saltValue="VvM+Qpghq2B36/ZM3glpY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2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</v>
      </c>
      <c r="C8" s="40"/>
      <c r="D8" s="40"/>
      <c r="E8" s="40"/>
      <c r="F8" s="40"/>
      <c r="G8" s="1"/>
    </row>
    <row r="9" spans="1:7" x14ac:dyDescent="0.25">
      <c r="A9" s="1"/>
      <c r="B9" s="46" t="s">
        <v>24</v>
      </c>
      <c r="C9" s="46"/>
      <c r="D9" s="46"/>
      <c r="E9" s="7">
        <f>'Fane 3. Omkostninger i ØR2021'!E17</f>
        <v>6141555.3027374921</v>
      </c>
      <c r="F9" s="46" t="s">
        <v>3</v>
      </c>
      <c r="G9" s="1"/>
    </row>
    <row r="10" spans="1:7" ht="17.100000000000001" customHeight="1" x14ac:dyDescent="0.25">
      <c r="A10" s="1"/>
      <c r="B10" s="33" t="s">
        <v>121</v>
      </c>
      <c r="C10" s="46"/>
      <c r="D10" s="46"/>
      <c r="E10" s="7">
        <f>'Fane 3. Omkostninger i ØR2021'!E14*(1-'Fane 10. Nøgletal'!C19)*(1+'Fane 10. Nøgletal'!C13)</f>
        <v>0</v>
      </c>
      <c r="F10" s="46" t="s">
        <v>3</v>
      </c>
      <c r="G10" s="1"/>
    </row>
    <row r="11" spans="1:7" ht="17.100000000000001" customHeight="1" x14ac:dyDescent="0.25">
      <c r="A11" s="1"/>
      <c r="B11" s="29" t="s">
        <v>60</v>
      </c>
      <c r="C11" s="46"/>
      <c r="D11" s="46"/>
      <c r="E11" s="7">
        <f>'Fane 7.1. Varige tillæg'!C12+'Fane 7.1. Varige tillæg'!E12</f>
        <v>0</v>
      </c>
      <c r="F11" s="46" t="s">
        <v>3</v>
      </c>
      <c r="G11" s="1"/>
    </row>
    <row r="12" spans="1:7" ht="17.100000000000001" customHeight="1" x14ac:dyDescent="0.2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2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25">
      <c r="A14" s="1"/>
      <c r="B14" s="29" t="s">
        <v>18</v>
      </c>
      <c r="C14" s="46"/>
      <c r="D14" s="46"/>
      <c r="E14" s="8">
        <f>E9*'Fane 10. Nøgletal'!C13+SUM(E11:E13)*'Fane 10. Nøgletal'!C14</f>
        <v>74926.974693397409</v>
      </c>
      <c r="F14" s="46" t="s">
        <v>3</v>
      </c>
      <c r="G14" s="1"/>
    </row>
    <row r="15" spans="1:7" ht="17.100000000000001" customHeight="1" x14ac:dyDescent="0.25">
      <c r="A15" s="1"/>
      <c r="B15" s="29" t="s">
        <v>54</v>
      </c>
      <c r="C15" s="46"/>
      <c r="D15" s="46"/>
      <c r="E15" s="8">
        <f>-SUM(E9,E11:E14)*'Fane 10. Nøgletal'!C19</f>
        <v>-105680.19871632512</v>
      </c>
      <c r="F15" s="46" t="s">
        <v>3</v>
      </c>
      <c r="G15" s="1"/>
    </row>
    <row r="16" spans="1:7" ht="15" customHeight="1" x14ac:dyDescent="0.25">
      <c r="A16" s="1"/>
      <c r="B16" s="50" t="s">
        <v>20</v>
      </c>
      <c r="C16" s="39"/>
      <c r="D16" s="39"/>
      <c r="E16" s="9">
        <f>SUM(E9,E11:E15)</f>
        <v>6110802.0787145644</v>
      </c>
      <c r="F16" s="41" t="s">
        <v>3</v>
      </c>
      <c r="G16" s="1"/>
    </row>
    <row r="17" spans="1:7" ht="15" customHeight="1" x14ac:dyDescent="0.2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25">
      <c r="A18" s="1"/>
      <c r="B18" s="41" t="s">
        <v>12</v>
      </c>
      <c r="C18" s="41"/>
      <c r="D18" s="41"/>
      <c r="E18" s="9">
        <f>'Fane 4. Ikke-påvirkelige omk.'!C14</f>
        <v>3057541.7835912998</v>
      </c>
      <c r="F18" s="41" t="s">
        <v>3</v>
      </c>
      <c r="G18" s="1"/>
    </row>
    <row r="19" spans="1:7" ht="15" customHeight="1" x14ac:dyDescent="0.2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2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2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2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25">
      <c r="A23" s="1"/>
      <c r="B23" s="40" t="s">
        <v>85</v>
      </c>
      <c r="C23" s="40"/>
      <c r="D23" s="40"/>
      <c r="E23" s="40"/>
      <c r="F23" s="40"/>
      <c r="G23" s="1"/>
    </row>
    <row r="24" spans="1:7" x14ac:dyDescent="0.25">
      <c r="A24" s="1"/>
      <c r="B24" s="50" t="s">
        <v>31</v>
      </c>
      <c r="C24" s="39"/>
      <c r="D24" s="39"/>
      <c r="E24" s="9">
        <v>395208</v>
      </c>
      <c r="F24" s="41" t="s">
        <v>3</v>
      </c>
      <c r="G24" s="1"/>
    </row>
    <row r="25" spans="1:7" x14ac:dyDescent="0.25">
      <c r="A25" s="1"/>
      <c r="B25" s="50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25">
      <c r="A26" s="1"/>
      <c r="B26" s="40" t="s">
        <v>12</v>
      </c>
      <c r="C26" s="40"/>
      <c r="D26" s="40"/>
      <c r="E26" s="40"/>
      <c r="F26" s="40"/>
      <c r="G26" s="1"/>
    </row>
    <row r="27" spans="1:7" x14ac:dyDescent="0.25">
      <c r="A27" s="1"/>
      <c r="B27" s="41" t="s">
        <v>12</v>
      </c>
      <c r="C27" s="41"/>
      <c r="D27" s="41"/>
      <c r="E27" s="9">
        <f>'Fane 4. Ikke-påvirkelige omk.'!C23</f>
        <v>0</v>
      </c>
      <c r="F27" s="41" t="s">
        <v>3</v>
      </c>
      <c r="G27" s="1"/>
    </row>
    <row r="28" spans="1:7" x14ac:dyDescent="0.25">
      <c r="A28" s="1"/>
      <c r="B28" s="40" t="s">
        <v>149</v>
      </c>
      <c r="C28" s="40"/>
      <c r="D28" s="40"/>
      <c r="E28" s="40"/>
      <c r="F28" s="40"/>
      <c r="G28" s="1"/>
    </row>
    <row r="29" spans="1:7" x14ac:dyDescent="0.25">
      <c r="A29" s="1"/>
      <c r="B29" s="41" t="s">
        <v>150</v>
      </c>
      <c r="C29" s="41"/>
      <c r="D29" s="41"/>
      <c r="E29" s="9">
        <v>0</v>
      </c>
      <c r="F29" s="41" t="s">
        <v>3</v>
      </c>
      <c r="G29" s="1"/>
    </row>
    <row r="30" spans="1:7" x14ac:dyDescent="0.25">
      <c r="A30" s="1"/>
      <c r="B30" s="40" t="s">
        <v>26</v>
      </c>
      <c r="C30" s="40"/>
      <c r="D30" s="40"/>
      <c r="E30" s="10">
        <f>SUM(E16,E18,E22,E24,E25,E27)</f>
        <v>9563551.8623058647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Ni5p/K5liAX/8AYjGf5yrF6osLJ58yKPYZFVbDSXmKjszHp/WeJuZ/sA4G6ww4hKSzQomDiKUhS3/ZQtGYN2FQ==" saltValue="3CNwky6ZCUIfzZtTGusEv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101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46" t="s">
        <v>66</v>
      </c>
      <c r="C8" s="46"/>
      <c r="D8" s="46"/>
      <c r="E8" s="7">
        <f>'Fane 2.1. Økonomisk ramme 2022'!E16</f>
        <v>6110802.0787145644</v>
      </c>
      <c r="F8" s="46" t="s">
        <v>3</v>
      </c>
      <c r="G8" s="1"/>
    </row>
    <row r="9" spans="1:7" ht="15" customHeight="1" x14ac:dyDescent="0.25">
      <c r="A9" s="1"/>
      <c r="B9" s="29" t="s">
        <v>62</v>
      </c>
      <c r="C9" s="46"/>
      <c r="D9" s="46"/>
      <c r="E9" s="7">
        <f>-('Fane 9. Bortfald'!C18+'Fane 9. Bortfald'!E18)</f>
        <v>0</v>
      </c>
      <c r="F9" s="46" t="s">
        <v>3</v>
      </c>
      <c r="G9" s="1"/>
    </row>
    <row r="10" spans="1:7" ht="15" customHeight="1" x14ac:dyDescent="0.25">
      <c r="A10" s="1"/>
      <c r="B10" s="38" t="s">
        <v>18</v>
      </c>
      <c r="C10" s="46"/>
      <c r="D10" s="46"/>
      <c r="E10" s="8">
        <f>SUM(E8:E9)*'Fane 10. Nøgletal'!C14</f>
        <v>20165.646859758064</v>
      </c>
      <c r="F10" s="46" t="s">
        <v>3</v>
      </c>
      <c r="G10" s="1"/>
    </row>
    <row r="11" spans="1:7" ht="15" customHeight="1" x14ac:dyDescent="0.25">
      <c r="A11" s="1"/>
      <c r="B11" s="38" t="s">
        <v>54</v>
      </c>
      <c r="C11" s="46"/>
      <c r="D11" s="46"/>
      <c r="E11" s="8">
        <f>-SUM(E8:E10)*'Fane 10. Nøgletal'!C19</f>
        <v>-104226.45133476348</v>
      </c>
      <c r="F11" s="46" t="s">
        <v>3</v>
      </c>
      <c r="G11" s="1"/>
    </row>
    <row r="12" spans="1:7" ht="15" customHeight="1" x14ac:dyDescent="0.25">
      <c r="A12" s="1"/>
      <c r="B12" s="39" t="s">
        <v>20</v>
      </c>
      <c r="C12" s="39"/>
      <c r="D12" s="39"/>
      <c r="E12" s="9">
        <f>SUM(E8:E11)</f>
        <v>6026741.2742395587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omk.'!C14*(1+'Fane 10. Nøgletal'!C14)</f>
        <v>3067631.6714771511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46"/>
      <c r="D16" s="46"/>
      <c r="E16" s="8">
        <f>'Fane 7.2. Engangstillæg'!C20</f>
        <v>0</v>
      </c>
      <c r="F16" s="46" t="s">
        <v>3</v>
      </c>
      <c r="G16" s="1"/>
    </row>
    <row r="17" spans="1:7" ht="15" customHeight="1" x14ac:dyDescent="0.25">
      <c r="A17" s="1"/>
      <c r="B17" s="29" t="s">
        <v>40</v>
      </c>
      <c r="C17" s="46"/>
      <c r="D17" s="46"/>
      <c r="E17" s="8">
        <f>'Fane 7.2. Engangstillæg'!E20</f>
        <v>0</v>
      </c>
      <c r="F17" s="46" t="s">
        <v>3</v>
      </c>
      <c r="G17" s="1"/>
    </row>
    <row r="18" spans="1:7" ht="15" customHeight="1" x14ac:dyDescent="0.2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x14ac:dyDescent="0.25">
      <c r="A19" s="1"/>
      <c r="B19" s="40" t="s">
        <v>12</v>
      </c>
      <c r="C19" s="40"/>
      <c r="D19" s="40"/>
      <c r="E19" s="40"/>
      <c r="F19" s="40"/>
      <c r="G19" s="1"/>
    </row>
    <row r="20" spans="1:7" x14ac:dyDescent="0.25">
      <c r="A20" s="1"/>
      <c r="B20" s="41" t="s">
        <v>12</v>
      </c>
      <c r="C20" s="41"/>
      <c r="D20" s="41"/>
      <c r="E20" s="9">
        <f>'Fane 4. Ikke-påvirkelige omk.'!C20*(1+'Fane 10. Nøgletal'!C20)</f>
        <v>0</v>
      </c>
      <c r="F20" s="41" t="s">
        <v>3</v>
      </c>
      <c r="G20" s="1"/>
    </row>
    <row r="21" spans="1:7" x14ac:dyDescent="0.25">
      <c r="A21" s="1"/>
      <c r="B21" s="40" t="s">
        <v>85</v>
      </c>
      <c r="C21" s="40"/>
      <c r="D21" s="40"/>
      <c r="E21" s="40"/>
      <c r="F21" s="40"/>
      <c r="G21" s="1"/>
    </row>
    <row r="22" spans="1:7" x14ac:dyDescent="0.25">
      <c r="A22" s="1"/>
      <c r="B22" s="41" t="s">
        <v>151</v>
      </c>
      <c r="C22" s="41"/>
      <c r="D22" s="41"/>
      <c r="E22" s="9">
        <f>'Fane 5. Kontrol af ØR2020'!E35</f>
        <v>0</v>
      </c>
      <c r="F22" s="41" t="s">
        <v>3</v>
      </c>
      <c r="G22" s="1"/>
    </row>
    <row r="23" spans="1:7" x14ac:dyDescent="0.25">
      <c r="A23" s="1"/>
      <c r="B23" s="40" t="s">
        <v>47</v>
      </c>
      <c r="C23" s="40"/>
      <c r="D23" s="40"/>
      <c r="E23" s="10">
        <f>SUM(E12,E14,E18,E20)</f>
        <v>9094372.9457167089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1fYfxpWpjN7F5csdgRw+A9NSoA2ev2Ix37ranXo2ieDAuDHqV8PFJMUB/toFY+4f+F44wOY6xwh09706bqf2rQ==" saltValue="r7DiTPpzrxE0AEMxMhVHE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46" t="s">
        <v>67</v>
      </c>
      <c r="C8" s="46"/>
      <c r="D8" s="46"/>
      <c r="E8" s="7">
        <f>'Fane 2.2. Økonomisk ramme 2023'!E12</f>
        <v>6026741.2742395587</v>
      </c>
      <c r="F8" s="46" t="s">
        <v>3</v>
      </c>
      <c r="G8" s="1"/>
    </row>
    <row r="9" spans="1:7" ht="15" customHeight="1" x14ac:dyDescent="0.2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25">
      <c r="A10" s="1"/>
      <c r="B10" s="38" t="s">
        <v>18</v>
      </c>
      <c r="C10" s="46"/>
      <c r="D10" s="46"/>
      <c r="E10" s="8">
        <f>SUM(E8:E9)*'Fane 10. Nøgletal'!C14</f>
        <v>19888.246204990544</v>
      </c>
      <c r="F10" s="46" t="s">
        <v>3</v>
      </c>
      <c r="G10" s="1"/>
    </row>
    <row r="11" spans="1:7" ht="15" customHeight="1" x14ac:dyDescent="0.25">
      <c r="A11" s="1"/>
      <c r="B11" s="38" t="s">
        <v>54</v>
      </c>
      <c r="C11" s="46"/>
      <c r="D11" s="46"/>
      <c r="E11" s="8">
        <f>-SUM(E8:E10)*'Fane 10. Nøgletal'!C19</f>
        <v>-102792.70184755736</v>
      </c>
      <c r="F11" s="46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5943836.8185969926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omk.'!C14*(1+'Fane 10. Nøgletal'!C14)^2</f>
        <v>3077754.8559930259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2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2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12</v>
      </c>
      <c r="C19" s="40"/>
      <c r="D19" s="40"/>
      <c r="E19" s="40"/>
      <c r="F19" s="40"/>
      <c r="G19" s="1"/>
    </row>
    <row r="20" spans="1:7" ht="15" customHeight="1" x14ac:dyDescent="0.25">
      <c r="A20" s="1"/>
      <c r="B20" s="41" t="s">
        <v>12</v>
      </c>
      <c r="C20" s="41"/>
      <c r="D20" s="41"/>
      <c r="E20" s="9">
        <f>'Fane 4. Ikke-påvirkelige omk.'!C20*(1+'Fane 10. Nøgletal'!C20)^2</f>
        <v>0</v>
      </c>
      <c r="F20" s="41" t="s">
        <v>3</v>
      </c>
      <c r="G20" s="1"/>
    </row>
    <row r="21" spans="1:7" x14ac:dyDescent="0.25">
      <c r="A21" s="1"/>
      <c r="B21" s="40" t="s">
        <v>85</v>
      </c>
      <c r="C21" s="40"/>
      <c r="D21" s="40"/>
      <c r="E21" s="40"/>
      <c r="F21" s="40"/>
      <c r="G21" s="1"/>
    </row>
    <row r="22" spans="1:7" x14ac:dyDescent="0.25">
      <c r="A22" s="1"/>
      <c r="B22" s="41" t="s">
        <v>86</v>
      </c>
      <c r="C22" s="41"/>
      <c r="D22" s="41"/>
      <c r="E22" s="9">
        <f>'Fane 5. Kontrol af ØR2020'!E35</f>
        <v>0</v>
      </c>
      <c r="F22" s="41" t="s">
        <v>3</v>
      </c>
      <c r="G22" s="1"/>
    </row>
    <row r="23" spans="1:7" x14ac:dyDescent="0.25">
      <c r="A23" s="1"/>
      <c r="B23" s="40" t="s">
        <v>68</v>
      </c>
      <c r="C23" s="40"/>
      <c r="D23" s="40"/>
      <c r="E23" s="10">
        <f>SUM(E12,E14,E18,E20,E22)</f>
        <v>9021591.6745900176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wwi5pXptFyRWuIyNaUV6DJ70AlOxiGWGZYYtKwh+rEJFSmmVeXyxfRL2DWBmnONAwU0KWje4h4Ta6Tp5q9qukA==" saltValue="jFyM241zbuT+/H/FQxufw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25">
      <c r="A8" s="1"/>
      <c r="B8" s="46" t="s">
        <v>103</v>
      </c>
      <c r="C8" s="46"/>
      <c r="D8" s="46"/>
      <c r="E8" s="7">
        <f>'Fane 2.3. Økonomisk ramme 2024'!E12</f>
        <v>5943836.8185969926</v>
      </c>
      <c r="F8" s="46" t="s">
        <v>3</v>
      </c>
      <c r="G8" s="1"/>
    </row>
    <row r="9" spans="1:7" ht="15" customHeight="1" x14ac:dyDescent="0.2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25">
      <c r="A10" s="1"/>
      <c r="B10" s="38" t="s">
        <v>18</v>
      </c>
      <c r="C10" s="46"/>
      <c r="D10" s="46"/>
      <c r="E10" s="8">
        <f>SUM(E8:E9)*'Fane 10. Nøgletal'!C14</f>
        <v>19614.661501370076</v>
      </c>
      <c r="F10" s="46" t="s">
        <v>3</v>
      </c>
      <c r="G10" s="1"/>
    </row>
    <row r="11" spans="1:7" ht="15" customHeight="1" x14ac:dyDescent="0.25">
      <c r="A11" s="1"/>
      <c r="B11" s="38" t="s">
        <v>54</v>
      </c>
      <c r="C11" s="46"/>
      <c r="D11" s="46"/>
      <c r="E11" s="8">
        <f>-SUM(E8:E10)*'Fane 10. Nøgletal'!C19</f>
        <v>-101378.67516167217</v>
      </c>
      <c r="F11" s="46" t="s">
        <v>3</v>
      </c>
      <c r="G11" s="1"/>
    </row>
    <row r="12" spans="1:7" x14ac:dyDescent="0.25">
      <c r="A12" s="1"/>
      <c r="B12" s="39" t="s">
        <v>20</v>
      </c>
      <c r="C12" s="39"/>
      <c r="D12" s="39"/>
      <c r="E12" s="9">
        <f>SUM(E8:E11)</f>
        <v>5862072.8049366912</v>
      </c>
      <c r="F12" s="41" t="s">
        <v>3</v>
      </c>
      <c r="G12" s="1"/>
    </row>
    <row r="13" spans="1:7" x14ac:dyDescent="0.2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25">
      <c r="A14" s="1"/>
      <c r="B14" s="41" t="s">
        <v>12</v>
      </c>
      <c r="C14" s="41"/>
      <c r="D14" s="41"/>
      <c r="E14" s="9">
        <f>'Fane 4. Ikke-påvirkelige omk.'!C14*(1+'Fane 10. Nøgletal'!C14)^3</f>
        <v>3087911.4470178033</v>
      </c>
      <c r="F14" s="41" t="s">
        <v>3</v>
      </c>
      <c r="G14" s="1"/>
    </row>
    <row r="15" spans="1:7" ht="15" customHeight="1" x14ac:dyDescent="0.2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2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2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2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25">
      <c r="A19" s="1"/>
      <c r="B19" s="40" t="s">
        <v>12</v>
      </c>
      <c r="C19" s="40"/>
      <c r="D19" s="40"/>
      <c r="E19" s="40"/>
      <c r="F19" s="40"/>
      <c r="G19" s="1"/>
    </row>
    <row r="20" spans="1:7" ht="15" customHeight="1" x14ac:dyDescent="0.25">
      <c r="A20" s="1"/>
      <c r="B20" s="41" t="s">
        <v>12</v>
      </c>
      <c r="C20" s="41"/>
      <c r="D20" s="41"/>
      <c r="E20" s="9">
        <f>'Fane 4. Ikke-påvirkelige omk.'!C20*(1+'Fane 10. Nøgletal'!C20)^3</f>
        <v>0</v>
      </c>
      <c r="F20" s="41" t="s">
        <v>3</v>
      </c>
      <c r="G20" s="1"/>
    </row>
    <row r="21" spans="1:7" x14ac:dyDescent="0.25">
      <c r="A21" s="1"/>
      <c r="B21" s="40" t="s">
        <v>85</v>
      </c>
      <c r="C21" s="40"/>
      <c r="D21" s="40"/>
      <c r="E21" s="40"/>
      <c r="F21" s="40"/>
      <c r="G21" s="1"/>
    </row>
    <row r="22" spans="1:7" x14ac:dyDescent="0.25">
      <c r="A22" s="1"/>
      <c r="B22" s="41" t="s">
        <v>86</v>
      </c>
      <c r="C22" s="41"/>
      <c r="D22" s="41"/>
      <c r="E22" s="9">
        <f>'Fane 5. Kontrol af ØR2020'!E35</f>
        <v>0</v>
      </c>
      <c r="F22" s="41" t="s">
        <v>3</v>
      </c>
      <c r="G22" s="1"/>
    </row>
    <row r="23" spans="1:7" x14ac:dyDescent="0.25">
      <c r="A23" s="1"/>
      <c r="B23" s="40" t="s">
        <v>104</v>
      </c>
      <c r="C23" s="40"/>
      <c r="D23" s="40"/>
      <c r="E23" s="10">
        <f>SUM(E12,E14,E18,E20,E22)</f>
        <v>8949984.251954494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S4eJqdPOrp+ll1ElU7UpTmx/6pzMLbYNMMjLXTMQ++dMewe1sG8yMKLC2hjTG9v3CrtopneTZVkFvv3dvRrP9A==" saltValue="bkKTN6Nu2L9Lrq2PdP8Sf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126</v>
      </c>
      <c r="C8" s="40"/>
      <c r="D8" s="40"/>
      <c r="E8" s="40"/>
      <c r="F8" s="40"/>
      <c r="G8" s="1"/>
    </row>
    <row r="9" spans="1:7" x14ac:dyDescent="0.25">
      <c r="A9" s="1"/>
      <c r="B9" s="87" t="s">
        <v>23</v>
      </c>
      <c r="C9" s="87"/>
      <c r="D9" s="87"/>
      <c r="E9" s="7">
        <v>6059803.4912043819</v>
      </c>
      <c r="F9" s="46" t="s">
        <v>3</v>
      </c>
      <c r="G9" s="1"/>
    </row>
    <row r="10" spans="1:7" x14ac:dyDescent="0.25">
      <c r="A10" s="1"/>
      <c r="B10" s="76" t="s">
        <v>128</v>
      </c>
      <c r="C10" s="76"/>
      <c r="D10" s="76"/>
      <c r="E10" s="7">
        <v>112659.80423871144</v>
      </c>
      <c r="F10" s="46" t="s">
        <v>3</v>
      </c>
      <c r="G10" s="1"/>
    </row>
    <row r="11" spans="1:7" x14ac:dyDescent="0.25">
      <c r="A11" s="1"/>
      <c r="B11" s="76" t="s">
        <v>60</v>
      </c>
      <c r="C11" s="76"/>
      <c r="D11" s="76"/>
      <c r="E11" s="7">
        <v>0</v>
      </c>
      <c r="F11" s="46" t="s">
        <v>3</v>
      </c>
      <c r="G11" s="1"/>
    </row>
    <row r="12" spans="1:7" x14ac:dyDescent="0.25">
      <c r="A12" s="1"/>
      <c r="B12" s="76" t="s">
        <v>65</v>
      </c>
      <c r="C12" s="76"/>
      <c r="D12" s="76"/>
      <c r="E12" s="7">
        <v>0</v>
      </c>
      <c r="F12" s="46" t="s">
        <v>3</v>
      </c>
      <c r="G12" s="1"/>
    </row>
    <row r="13" spans="1:7" x14ac:dyDescent="0.25">
      <c r="A13" s="1"/>
      <c r="B13" s="76" t="s">
        <v>65</v>
      </c>
      <c r="C13" s="76"/>
      <c r="D13" s="76"/>
      <c r="E13" s="7">
        <v>0</v>
      </c>
      <c r="F13" s="46" t="s">
        <v>3</v>
      </c>
      <c r="G13" s="1"/>
    </row>
    <row r="14" spans="1:7" x14ac:dyDescent="0.25">
      <c r="A14" s="1"/>
      <c r="B14" s="76" t="s">
        <v>61</v>
      </c>
      <c r="C14" s="76"/>
      <c r="D14" s="76"/>
      <c r="E14" s="8">
        <v>0</v>
      </c>
      <c r="F14" s="46" t="s">
        <v>3</v>
      </c>
      <c r="G14" s="1"/>
    </row>
    <row r="15" spans="1:7" x14ac:dyDescent="0.25">
      <c r="A15" s="1"/>
      <c r="B15" s="76" t="s">
        <v>18</v>
      </c>
      <c r="C15" s="76"/>
      <c r="D15" s="76"/>
      <c r="E15" s="8">
        <f>SUM(E9:E14)*'Fane 10. Nøgletal'!C13</f>
        <v>75304.052204405743</v>
      </c>
      <c r="F15" s="46" t="s">
        <v>3</v>
      </c>
      <c r="G15" s="1"/>
    </row>
    <row r="16" spans="1:7" x14ac:dyDescent="0.25">
      <c r="A16" s="1"/>
      <c r="B16" s="76" t="s">
        <v>54</v>
      </c>
      <c r="C16" s="76"/>
      <c r="D16" s="76"/>
      <c r="E16" s="8">
        <f>-SUM(E9:E15)*'Fane 10. Nøgletal'!C19</f>
        <v>-106212.04491000749</v>
      </c>
      <c r="F16" s="46" t="s">
        <v>3</v>
      </c>
      <c r="G16" s="1"/>
    </row>
    <row r="17" spans="1:7" x14ac:dyDescent="0.25">
      <c r="A17" s="1"/>
      <c r="B17" s="77" t="s">
        <v>20</v>
      </c>
      <c r="C17" s="77"/>
      <c r="D17" s="77"/>
      <c r="E17" s="9">
        <f>SUM(E9:E16)</f>
        <v>6141555.3027374921</v>
      </c>
      <c r="F17" s="41" t="s">
        <v>3</v>
      </c>
      <c r="G17" s="1"/>
    </row>
    <row r="18" spans="1:7" x14ac:dyDescent="0.25">
      <c r="A18" s="1"/>
      <c r="B18" s="78" t="s">
        <v>12</v>
      </c>
      <c r="C18" s="78"/>
      <c r="D18" s="78"/>
      <c r="E18" s="40"/>
      <c r="F18" s="40"/>
      <c r="G18" s="1"/>
    </row>
    <row r="19" spans="1:7" ht="15.4" customHeight="1" x14ac:dyDescent="0.25">
      <c r="A19" s="1"/>
      <c r="B19" s="79" t="s">
        <v>12</v>
      </c>
      <c r="C19" s="79"/>
      <c r="D19" s="79"/>
      <c r="E19" s="9">
        <v>3687370.7415879602</v>
      </c>
      <c r="F19" s="41" t="s">
        <v>3</v>
      </c>
      <c r="G19" s="1"/>
    </row>
    <row r="20" spans="1:7" ht="15.75" customHeight="1" x14ac:dyDescent="0.25">
      <c r="A20" s="1"/>
      <c r="B20" s="40" t="s">
        <v>42</v>
      </c>
      <c r="C20" s="40"/>
      <c r="D20" s="40"/>
      <c r="E20" s="40"/>
      <c r="F20" s="40"/>
      <c r="G20" s="1"/>
    </row>
    <row r="21" spans="1:7" x14ac:dyDescent="0.25">
      <c r="A21" s="1"/>
      <c r="B21" s="80" t="s">
        <v>39</v>
      </c>
      <c r="C21" s="81"/>
      <c r="D21" s="82"/>
      <c r="E21" s="35">
        <v>0</v>
      </c>
      <c r="F21" s="32" t="s">
        <v>3</v>
      </c>
      <c r="G21" s="1"/>
    </row>
    <row r="22" spans="1:7" x14ac:dyDescent="0.25">
      <c r="A22" s="1"/>
      <c r="B22" s="80" t="s">
        <v>40</v>
      </c>
      <c r="C22" s="81"/>
      <c r="D22" s="82"/>
      <c r="E22" s="35">
        <v>0</v>
      </c>
      <c r="F22" s="32" t="s">
        <v>3</v>
      </c>
      <c r="G22" s="1"/>
    </row>
    <row r="23" spans="1:7" ht="15.75" customHeight="1" x14ac:dyDescent="0.25">
      <c r="A23" s="1"/>
      <c r="B23" s="83" t="s">
        <v>43</v>
      </c>
      <c r="C23" s="84"/>
      <c r="D23" s="85"/>
      <c r="E23" s="9">
        <v>0</v>
      </c>
      <c r="F23" s="9" t="s">
        <v>3</v>
      </c>
      <c r="G23" s="1"/>
    </row>
    <row r="24" spans="1:7" x14ac:dyDescent="0.25">
      <c r="A24" s="1"/>
      <c r="B24" s="40" t="s">
        <v>85</v>
      </c>
      <c r="C24" s="40"/>
      <c r="D24" s="40"/>
      <c r="E24" s="40"/>
      <c r="F24" s="40"/>
      <c r="G24" s="1"/>
    </row>
    <row r="25" spans="1:7" x14ac:dyDescent="0.25">
      <c r="A25" s="1"/>
      <c r="B25" s="50" t="s">
        <v>31</v>
      </c>
      <c r="C25" s="39"/>
      <c r="D25" s="39"/>
      <c r="E25" s="9">
        <v>395208.11760000041</v>
      </c>
      <c r="F25" s="41" t="s">
        <v>3</v>
      </c>
      <c r="G25" s="1"/>
    </row>
    <row r="26" spans="1:7" ht="15" customHeight="1" x14ac:dyDescent="0.25">
      <c r="A26" s="1"/>
      <c r="B26" s="50" t="s">
        <v>86</v>
      </c>
      <c r="C26" s="39"/>
      <c r="D26" s="39"/>
      <c r="E26" s="9">
        <v>0</v>
      </c>
      <c r="F26" s="41" t="s">
        <v>3</v>
      </c>
      <c r="G26" s="1"/>
    </row>
    <row r="27" spans="1:7" ht="15" customHeight="1" x14ac:dyDescent="0.25">
      <c r="A27" s="1"/>
      <c r="B27" s="40" t="s">
        <v>25</v>
      </c>
      <c r="C27" s="40"/>
      <c r="D27" s="40"/>
      <c r="E27" s="10">
        <f>E17+E19+E23+E25+E26</f>
        <v>10224134.161925452</v>
      </c>
      <c r="F27" s="11" t="s">
        <v>3</v>
      </c>
      <c r="G27" s="1"/>
    </row>
    <row r="28" spans="1:7" ht="27" customHeight="1" x14ac:dyDescent="0.25">
      <c r="A28" s="1"/>
      <c r="B28" s="75" t="s">
        <v>120</v>
      </c>
      <c r="C28" s="75"/>
      <c r="D28" s="75"/>
      <c r="E28" s="75"/>
      <c r="F28" s="75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  <row r="55" spans="1:7" x14ac:dyDescent="0.25">
      <c r="B55" s="1"/>
      <c r="C55" s="1"/>
      <c r="D55" s="1"/>
      <c r="E55" s="1"/>
      <c r="F55" s="1"/>
    </row>
  </sheetData>
  <sheetProtection algorithmName="SHA-512" hashValue="sQcuScEz5kmNGujtD2OQy9IpqkWntfgQJIX3/HqXpQ+wrJ7ejy8lLBAmDI9TMm9okTEzBTxpCwNZ+GZuFMxVhQ==" saltValue="6F7YMPIil5D/GLramFJMG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6">
    <mergeCell ref="B3:F4"/>
    <mergeCell ref="B9:D9"/>
    <mergeCell ref="B11:D11"/>
    <mergeCell ref="B14:D14"/>
    <mergeCell ref="B15:D15"/>
    <mergeCell ref="B10:D10"/>
    <mergeCell ref="B13:D13"/>
    <mergeCell ref="B12:D12"/>
    <mergeCell ref="B28:F28"/>
    <mergeCell ref="B16:D16"/>
    <mergeCell ref="B17:D17"/>
    <mergeCell ref="B18:D18"/>
    <mergeCell ref="B19:D19"/>
    <mergeCell ref="B21:D21"/>
    <mergeCell ref="B22:D22"/>
    <mergeCell ref="B23:D23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53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107</v>
      </c>
      <c r="C8" s="89"/>
      <c r="D8" s="90"/>
      <c r="E8" s="1"/>
      <c r="F8" s="1"/>
    </row>
    <row r="9" spans="1:6" ht="15" customHeight="1" x14ac:dyDescent="0.25">
      <c r="A9" s="1"/>
      <c r="B9" s="17" t="s">
        <v>29</v>
      </c>
      <c r="C9" s="41" t="s">
        <v>106</v>
      </c>
      <c r="D9" s="41"/>
      <c r="E9" s="1"/>
      <c r="F9" s="1"/>
    </row>
    <row r="10" spans="1:6" x14ac:dyDescent="0.25">
      <c r="A10" s="1"/>
      <c r="B10" s="28" t="s">
        <v>131</v>
      </c>
      <c r="C10" s="8">
        <v>3015545</v>
      </c>
      <c r="D10" s="12" t="s">
        <v>3</v>
      </c>
      <c r="E10" s="1"/>
      <c r="F10" s="1"/>
    </row>
    <row r="11" spans="1:6" x14ac:dyDescent="0.25">
      <c r="A11" s="1"/>
      <c r="B11" s="28" t="s">
        <v>132</v>
      </c>
      <c r="C11" s="8">
        <v>12233</v>
      </c>
      <c r="D11" s="12" t="s">
        <v>3</v>
      </c>
      <c r="E11" s="1"/>
      <c r="F11" s="1"/>
    </row>
    <row r="12" spans="1:6" x14ac:dyDescent="0.25">
      <c r="A12" s="1"/>
      <c r="B12" s="28" t="s">
        <v>133</v>
      </c>
      <c r="C12" s="8">
        <v>9683.4599999999991</v>
      </c>
      <c r="D12" s="12" t="s">
        <v>3</v>
      </c>
      <c r="E12" s="1"/>
      <c r="F12" s="1"/>
    </row>
    <row r="13" spans="1:6" x14ac:dyDescent="0.25">
      <c r="A13" s="1"/>
      <c r="B13" s="56" t="s">
        <v>108</v>
      </c>
      <c r="C13" s="10">
        <f>SUM(C10:C12)</f>
        <v>3037461.46</v>
      </c>
      <c r="D13" s="11" t="s">
        <v>3</v>
      </c>
      <c r="E13" s="1"/>
      <c r="F13" s="1"/>
    </row>
    <row r="14" spans="1:6" x14ac:dyDescent="0.25">
      <c r="A14" s="1"/>
      <c r="B14" s="56" t="s">
        <v>109</v>
      </c>
      <c r="C14" s="10">
        <f>C13*(1+'Fane 10. Nøgletal'!C14)^2</f>
        <v>3057541.7835912998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y4ryLa2Hx9z1i3PUwuvnjjfBIztlK94V35S25LPae2dpY9HQjzH/G1fkbFJ2PEMBw9vKgA/CWqIHpPGk4lAwZw==" saltValue="RFwchuSMSmT+FGFRex0Dp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45"/>
      <c r="C5" s="45"/>
      <c r="D5" s="45"/>
      <c r="E5" s="45"/>
      <c r="F5" s="45"/>
      <c r="G5" s="1"/>
    </row>
    <row r="6" spans="1:7" ht="15" customHeight="1" x14ac:dyDescent="0.25">
      <c r="A6" s="1"/>
      <c r="B6" s="45"/>
      <c r="C6" s="45"/>
      <c r="D6" s="45"/>
      <c r="E6" s="45"/>
      <c r="F6" s="45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136</v>
      </c>
      <c r="C8" s="89"/>
      <c r="D8" s="89"/>
      <c r="E8" s="89"/>
      <c r="F8" s="90"/>
      <c r="G8" s="1"/>
    </row>
    <row r="9" spans="1:7" x14ac:dyDescent="0.25">
      <c r="A9" s="1"/>
      <c r="B9" s="98" t="s">
        <v>137</v>
      </c>
      <c r="C9" s="99"/>
      <c r="D9" s="100"/>
      <c r="E9" s="8">
        <v>2279193.8398920707</v>
      </c>
      <c r="F9" s="12" t="s">
        <v>3</v>
      </c>
      <c r="G9" s="1"/>
    </row>
    <row r="10" spans="1:7" x14ac:dyDescent="0.25">
      <c r="A10" s="1"/>
      <c r="B10" s="98" t="s">
        <v>138</v>
      </c>
      <c r="C10" s="99"/>
      <c r="D10" s="100"/>
      <c r="E10" s="8">
        <v>2175915.8301253067</v>
      </c>
      <c r="F10" s="12" t="s">
        <v>3</v>
      </c>
      <c r="G10" s="1"/>
    </row>
    <row r="11" spans="1:7" x14ac:dyDescent="0.25">
      <c r="A11" s="1"/>
      <c r="B11" s="98" t="s">
        <v>139</v>
      </c>
      <c r="C11" s="99"/>
      <c r="D11" s="100"/>
      <c r="E11" s="8">
        <v>1935756.7760020653</v>
      </c>
      <c r="F11" s="12" t="s">
        <v>3</v>
      </c>
      <c r="G11" s="1"/>
    </row>
    <row r="12" spans="1:7" x14ac:dyDescent="0.25">
      <c r="A12" s="1"/>
      <c r="B12" s="56"/>
      <c r="C12" s="22"/>
      <c r="D12" s="22"/>
      <c r="E12" s="22"/>
      <c r="F12" s="57"/>
      <c r="G12" s="1"/>
    </row>
    <row r="13" spans="1:7" ht="51.75" customHeight="1" x14ac:dyDescent="0.25">
      <c r="A13" s="1"/>
      <c r="B13" s="101" t="s">
        <v>140</v>
      </c>
      <c r="C13" s="102"/>
      <c r="D13" s="102"/>
      <c r="E13" s="102"/>
      <c r="F13" s="103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141</v>
      </c>
      <c r="C15" s="89"/>
      <c r="D15" s="89"/>
      <c r="E15" s="89"/>
      <c r="F15" s="90"/>
      <c r="G15" s="1"/>
    </row>
    <row r="16" spans="1:7" x14ac:dyDescent="0.25">
      <c r="A16" s="1"/>
      <c r="B16" s="98" t="s">
        <v>142</v>
      </c>
      <c r="C16" s="99"/>
      <c r="D16" s="100"/>
      <c r="E16" s="8">
        <v>0</v>
      </c>
      <c r="F16" s="12" t="s">
        <v>3</v>
      </c>
      <c r="G16" s="1"/>
    </row>
    <row r="17" spans="1:7" x14ac:dyDescent="0.25">
      <c r="A17" s="1"/>
      <c r="B17" s="98" t="s">
        <v>143</v>
      </c>
      <c r="C17" s="99"/>
      <c r="D17" s="100"/>
      <c r="E17" s="8">
        <v>0</v>
      </c>
      <c r="F17" s="12" t="s">
        <v>3</v>
      </c>
      <c r="G17" s="1"/>
    </row>
    <row r="18" spans="1:7" x14ac:dyDescent="0.25">
      <c r="A18" s="1"/>
      <c r="B18" s="56"/>
      <c r="C18" s="22"/>
      <c r="D18" s="22"/>
      <c r="E18" s="22"/>
      <c r="F18" s="57"/>
      <c r="G18" s="1"/>
    </row>
    <row r="19" spans="1:7" ht="29.25" customHeight="1" x14ac:dyDescent="0.25">
      <c r="A19" s="1"/>
      <c r="B19" s="101" t="s">
        <v>144</v>
      </c>
      <c r="C19" s="102"/>
      <c r="D19" s="102"/>
      <c r="E19" s="102"/>
      <c r="F19" s="103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7" t="s">
        <v>122</v>
      </c>
      <c r="C21" s="48"/>
      <c r="D21" s="48"/>
      <c r="E21" s="48"/>
      <c r="F21" s="49"/>
      <c r="G21" s="1"/>
    </row>
    <row r="22" spans="1:7" x14ac:dyDescent="0.25">
      <c r="A22" s="1"/>
      <c r="B22" s="51" t="s">
        <v>123</v>
      </c>
      <c r="C22" s="52"/>
      <c r="D22" s="53"/>
      <c r="E22" s="8">
        <v>9019629.777831709</v>
      </c>
      <c r="F22" s="12" t="s">
        <v>3</v>
      </c>
      <c r="G22" s="1"/>
    </row>
    <row r="23" spans="1:7" x14ac:dyDescent="0.25">
      <c r="A23" s="1"/>
      <c r="B23" s="51" t="s">
        <v>124</v>
      </c>
      <c r="C23" s="52"/>
      <c r="D23" s="53"/>
      <c r="E23" s="8">
        <v>6369849.4000000004</v>
      </c>
      <c r="F23" s="12" t="s">
        <v>3</v>
      </c>
      <c r="G23" s="1"/>
    </row>
    <row r="24" spans="1:7" x14ac:dyDescent="0.2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25">
      <c r="A25" s="1"/>
      <c r="B25" s="42" t="s">
        <v>125</v>
      </c>
      <c r="C25" s="43"/>
      <c r="D25" s="44"/>
      <c r="E25" s="34">
        <f>E22-(E23-E24)</f>
        <v>2649780.3778317086</v>
      </c>
      <c r="F25" s="15" t="s">
        <v>3</v>
      </c>
      <c r="G25" s="1"/>
    </row>
    <row r="26" spans="1:7" x14ac:dyDescent="0.25">
      <c r="A26" s="1"/>
      <c r="B26" s="56"/>
      <c r="C26" s="22"/>
      <c r="D26" s="22"/>
      <c r="E26" s="22"/>
      <c r="F26" s="57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8" t="s">
        <v>145</v>
      </c>
      <c r="C28" s="89"/>
      <c r="D28" s="89"/>
      <c r="E28" s="89"/>
      <c r="F28" s="90"/>
      <c r="G28" s="1"/>
    </row>
    <row r="29" spans="1:7" x14ac:dyDescent="0.25">
      <c r="A29" s="1"/>
      <c r="B29" s="83" t="s">
        <v>146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25">
      <c r="A30" s="1"/>
      <c r="B30" s="88"/>
      <c r="C30" s="89"/>
      <c r="D30" s="89"/>
      <c r="E30" s="89"/>
      <c r="F30" s="90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147</v>
      </c>
      <c r="C32" s="89"/>
      <c r="D32" s="89"/>
      <c r="E32" s="89"/>
      <c r="F32" s="90"/>
      <c r="G32" s="1"/>
    </row>
    <row r="33" spans="1:7" x14ac:dyDescent="0.2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2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25">
      <c r="A35" s="1"/>
      <c r="B35" s="94" t="s">
        <v>148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25">
      <c r="A36" s="1"/>
      <c r="B36" s="91"/>
      <c r="C36" s="92"/>
      <c r="D36" s="92"/>
      <c r="E36" s="92"/>
      <c r="F36" s="93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zMvmHr2A8guAPsFDAvjIVOoYUOCPNVqGJfMqIkd0qSXpwvS72s/CnSPQJcBrBj+UUShoN/5/PdEN+4xjOiGSCg==" saltValue="6TcXyw6zSX2fe89MX/+ku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25">
      <c r="A10" s="1"/>
      <c r="B10" s="36" t="s">
        <v>152</v>
      </c>
      <c r="C10" s="3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PRA7NfK54WN2q28tU8ZOPfc17rOAOxfVdv0idrThlYa8YzvPhelJRZ1rY73I192lzR+QtLCFMbWIzEB6th9WSQ==" saltValue="2sj8BLjOJ+DpCx3YhN/Hx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2021-09-15T13:38:57Z</dcterms:modified>
</cp:coreProperties>
</file>