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Guldborgsund Spildevand AS (S033)\ØR2025\"/>
    </mc:Choice>
  </mc:AlternateContent>
  <xr:revisionPtr revIDLastSave="0" documentId="13_ncr:1_{75DB38C4-F76A-45A4-8603-B2BEC9D999F6}"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l="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<sst xmlns="http://schemas.openxmlformats.org/spreadsheetml/2006/main" count="554" uniqueCount="238">
  <si>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</si>
  <si>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</si>
  <si>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</si>
  <si>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</si>
  <si>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</si>
  <si>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</si>
  <si>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</si>
  <si>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</si>
  <si>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</si>
  <si>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</si>
  <si>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</si>
  <si>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</si>
  <si>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</si>
  <si>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</si>
  <si>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</si>
  <si>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</si>
  <si>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</si>
  <si>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</si>
  <si>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</si>
  <si>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</si>
  <si>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</si>
  <si>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</si>
  <si>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</si>
  <si>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</si>
  <si>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</si>
  <si>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</si>
  <si>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</si>
  <si>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</si>
  <si>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</si>
  <si>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</si>
  <si>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</si>
  <si>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</si>
  <si>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</si>
  <si>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</si>
  <si>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</si>
  <si>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</si>
  <si>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</si>
  <si>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</si>
  <si>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</si>
  <si>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</si>
  <si>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</si>
  <si>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</si>
  <si>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</si>
  <si>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</si>
  <si>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</si>
  <si>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</si>
  <si>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</si>
  <si>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</si>
  <si>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</si>
  <si>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</si>
  <si>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</si>
  <si>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</si>
  <si>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</si>
  <si>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</si>
  <si>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</si>
  <si>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</si>
  <si>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</si>
  <si>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</si>
  <si>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</si>
  <si>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</si>
  <si>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</si>
  <si>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</si>
  <si>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</si>
  <si>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</si>
  <si>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</si>
  <si>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</si>
  <si>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</si>
  <si>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</si>
  <si>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</si>
  <si>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</si>
  <si>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</si>
  <si>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</si>
  <si>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</si>
  <si>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</si>
  <si>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</si>
  <si>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</si>
  <si>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</si>
  <si>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</si>
  <si>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</si>
  <si>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</si>
  <si>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</si>
  <si>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</si>
  <si>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</si>
  <si>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</si>
  <si>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</si>
  <si>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</si>
  <si>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</si>
  <si>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</si>
  <si>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</si>
  <si>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</si>
  <si>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</si>
  <si>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</si>
  <si>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</si>
  <si>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</si>
  <si>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</si>
  <si>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</si>
  <si>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</si>
  <si>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</si>
  <si>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</si>
  <si>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</si>
  <si>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</si>
  <si>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</si>
  <si>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</si>
  <si>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</si>
  <si>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</si>
  <si>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</si>
  <si>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</si>
  <si>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</si>
  <si>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</si>
  <si>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</si>
  <si>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</si>
  <si>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</si>
  <si>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</si>
  <si>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</si>
  <si>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</si>
  <si>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</si>
  <si>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</si>
  <si>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</si>
  <si>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</si>
  <si>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</si>
  <si>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</si>
  <si>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</si>
  <si>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</si>
  <si>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</si>
  <si>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</si>
  <si>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</si>
  <si>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</si>
  <si>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</si>
  <si>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</si>
  <si>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</si>
  <si>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</si>
  <si>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</si>
  <si>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</si>
  <si>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</si>
  <si>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</si>
  <si>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</si>
  <si>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</si>
  <si>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</si>
  <si>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</si>
  <si>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</si>
  <si>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</si>
  <si>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</si>
  <si>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</si>
  <si>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</si>
  <si>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</si>
  <si>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</si>
  <si>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</si>
  <si>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</si>
  <si>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</si>
  <si>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</si>
  <si>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</si>
  <si>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</si>
  <si>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</si>
  <si>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</si>
  <si>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</si>
  <si>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</si>
  <si>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</si>
  <si>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</si>
  <si>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</si>
  <si>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</si>
  <si>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</si>
  <si>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</si>
  <si>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</si>
  <si>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</si>
  <si>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</si>
  <si>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</si>
  <si>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</si>
  <si>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</si>
  <si>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</si>
  <si>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</si>
  <si>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</si>
  <si>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</si>
  <si>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</si>
  <si>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</si>
  <si>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</si>
  <si>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</si>
  <si>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</si>
  <si>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</si>
  <si>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</si>
  <si>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</si>
  <si>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</si>
  <si>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</si>
  <si>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</si>
  <si>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</si>
  <si>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</si>
  <si>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</si>
  <si>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</si>
  <si>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</si>
  <si>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</si>
  <si>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</si>
  <si>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</si>
  <si>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</si>
  <si>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</si>
  <si>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</si>
  <si>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</si>
  <si>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</si>
  <si>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</si>
  <si>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</si>
  <si>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</si>
  <si>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</si>
  <si>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</si>
  <si>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</si>
  <si>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</si>
  <si>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</si>
  <si>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</si>
  <si>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</si>
  <si>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</si>
  <si>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</si>
  <si>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</si>
  <si>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</si>
  <si>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</si>
  <si>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</si>
  <si>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</si>
  <si>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</si>
  <si>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</si>
  <si>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</si>
  <si>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</si>
  <si>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</si>
  <si>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</si>
  <si>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</si>
  <si>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</si>
  <si>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</si>
  <si>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</si>
  <si>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</si>
  <si>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</si>
  <si>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</si>
  <si>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</si>
  <si>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</si>
  <si>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</si>
  <si>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Ejendomsskatter</t>
  </si>
  <si>
    <t>Erstatninger</t>
  </si>
  <si>
    <t>Gebyr til Miljøstyrelsen</t>
  </si>
  <si>
    <t>Til statusmeddelelse for 2025</t>
  </si>
  <si>
    <t>MNT Gedser renseanlæg+ sparebassiner</t>
  </si>
  <si>
    <t>Nye kunder</t>
  </si>
  <si>
    <t>Periodevise driftsomkostninger - bassiner på Kalkbrænderivej, Snebærvej og Ahornvej</t>
  </si>
  <si>
    <t>Periodevise driftsomkostninger - slambed i Tårup</t>
  </si>
  <si>
    <t xml:space="preserve">Spildevandsplan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</si>
</sst>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232</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6XjEehY+G2XgiP+AJB/tNFbGeIk09Lqp536fw2j+qGZA6DYhuKh9qvk6p5Y4aSrkuTtwrPYdY6kpEmFv1BfoBg==" saltValue="GSfC+Fan47S6hUtJp3ib2Q=="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226</v>
      </c>
      <c r="C10" s="72">
        <v>1828376</v>
      </c>
      <c r="D10" s="14" t="s">
        <v>3</v>
      </c>
      <c r="E10" s="1"/>
    </row>
    <row r="11" spans="1:5" ht="15" customHeight="1" x14ac:dyDescent="0.25">
      <c r="A11" s="1"/>
      <c r="B11" s="71" t="s">
        <v>227</v>
      </c>
      <c r="C11" s="72">
        <v>95538</v>
      </c>
      <c r="D11" s="14" t="s">
        <v>3</v>
      </c>
      <c r="E11" s="1"/>
    </row>
    <row r="12" spans="1:5" ht="25.5" x14ac:dyDescent="0.25">
      <c r="A12" s="1"/>
      <c r="B12" s="71" t="s">
        <v>228</v>
      </c>
      <c r="C12" s="72">
        <v>3058878</v>
      </c>
      <c r="D12" s="14" t="s">
        <v>3</v>
      </c>
      <c r="E12" s="1"/>
    </row>
    <row r="13" spans="1:5" x14ac:dyDescent="0.25">
      <c r="A13" s="1"/>
      <c r="B13" s="71" t="s">
        <v>229</v>
      </c>
      <c r="C13" s="72">
        <v>93494</v>
      </c>
      <c r="D13" s="14" t="s">
        <v>3</v>
      </c>
      <c r="E13" s="1"/>
    </row>
    <row r="14" spans="1:5" x14ac:dyDescent="0.25">
      <c r="A14" s="1"/>
      <c r="B14" s="71" t="s">
        <v>230</v>
      </c>
      <c r="C14" s="72">
        <v>75998.61</v>
      </c>
      <c r="D14" s="14" t="s">
        <v>3</v>
      </c>
      <c r="E14" s="1"/>
    </row>
    <row r="15" spans="1:5" x14ac:dyDescent="0.25">
      <c r="A15" s="1"/>
      <c r="B15" s="71" t="s">
        <v>231</v>
      </c>
      <c r="C15" s="72">
        <v>17225</v>
      </c>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5169509.6100000003</v>
      </c>
      <c r="D20" s="13" t="s">
        <v>3</v>
      </c>
      <c r="E20" s="1"/>
    </row>
    <row r="21" spans="1:5" x14ac:dyDescent="0.25">
      <c r="A21" s="1"/>
      <c r="B21" s="33" t="s">
        <v>168</v>
      </c>
      <c r="C21" s="12">
        <f>C20*(1+'Fane 15. Nøgletal'!C10)^2</f>
        <v>5877710.1459835814</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431043</v>
      </c>
      <c r="D33" s="14" t="s">
        <v>3</v>
      </c>
      <c r="E33" s="1"/>
    </row>
    <row r="34" spans="1:5" x14ac:dyDescent="0.25">
      <c r="A34" s="1"/>
      <c r="B34" s="37" t="s">
        <v>83</v>
      </c>
      <c r="C34" s="9">
        <v>431043</v>
      </c>
      <c r="D34" s="14" t="s">
        <v>3</v>
      </c>
      <c r="E34" s="1"/>
    </row>
    <row r="35" spans="1:5" x14ac:dyDescent="0.25">
      <c r="A35" s="1"/>
      <c r="B35" s="37" t="s">
        <v>148</v>
      </c>
      <c r="C35" s="9">
        <v>431043</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0r2iBk1/rk9S/sqpHwW6NaEMLjl9ARe+NSx/dB+uGA/xWF3ZpWCV/lxOXqA5qT8Z6zMHWJ83eBeqlfJypm1n3A==" saltValue="H60lxkFdchGk+CK+vYhpiA=="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3460674.0250374973</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-2888417.0450578555</v>
      </c>
      <c r="D14" s="14" t="s">
        <v>3</v>
      </c>
      <c r="E14" s="1"/>
    </row>
    <row r="15" spans="1:5" x14ac:dyDescent="0.25">
      <c r="A15" s="1"/>
      <c r="B15" s="65" t="s">
        <v>203</v>
      </c>
      <c r="C15" s="9">
        <v>-2888417.0450578555</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129586578.20173486</v>
      </c>
      <c r="D20" s="14" t="s">
        <v>3</v>
      </c>
      <c r="E20" s="1"/>
    </row>
    <row r="21" spans="1:5" x14ac:dyDescent="0.25">
      <c r="A21" s="1"/>
      <c r="B21" s="65" t="s">
        <v>207</v>
      </c>
      <c r="C21" s="9">
        <v>133952095</v>
      </c>
      <c r="D21" s="14" t="s">
        <v>3</v>
      </c>
      <c r="E21" s="1"/>
    </row>
    <row r="22" spans="1:5" x14ac:dyDescent="0.25">
      <c r="A22" s="1"/>
      <c r="B22" s="65" t="s">
        <v>29</v>
      </c>
      <c r="C22" s="9">
        <v>0</v>
      </c>
      <c r="D22" s="14" t="s">
        <v>3</v>
      </c>
      <c r="E22" s="1"/>
    </row>
    <row r="23" spans="1:5" x14ac:dyDescent="0.25">
      <c r="A23" s="1"/>
      <c r="B23" s="82" t="s">
        <v>208</v>
      </c>
      <c r="C23" s="57">
        <f>C20-C21-C22</f>
        <v>-4365516.7982651442</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-2888417.0450578555</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-904842.77322764695</v>
      </c>
      <c r="D31" s="14" t="s">
        <v>3</v>
      </c>
      <c r="E31" s="1"/>
    </row>
    <row r="32" spans="1:5" x14ac:dyDescent="0.25">
      <c r="A32" s="1"/>
      <c r="B32" s="66" t="s">
        <v>49</v>
      </c>
      <c r="C32" s="9">
        <v>2</v>
      </c>
      <c r="D32" s="14" t="s">
        <v>20</v>
      </c>
      <c r="E32" s="1"/>
    </row>
    <row r="33" spans="1:5" x14ac:dyDescent="0.25">
      <c r="A33" s="1"/>
      <c r="B33" s="67" t="s">
        <v>70</v>
      </c>
      <c r="C33" s="57">
        <f>C31/C32</f>
        <v>-452421.38661382347</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hpSuLqEueUjtb/RBcTgY2CImVvLZwXkwOFa81gb1ezSbYZSg3fW+mSK1LexqsHhdCOBcyZsE+eQYZOgiv+NI+g==" saltValue="eV0UnuL9JISAoycFE5eNb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5DiyYC4YVeiIDfbNZI4k6UfPT8GEcPD+66xUSocIt+3hCoBZMghTrPY85M+ysR2p2WTgJHy0hkueDuzRChKJaA==" saltValue="UXC3Ah8CwF6YIAfcsfQ2a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215</v>
      </c>
      <c r="C9" s="7">
        <v>0</v>
      </c>
      <c r="D9" s="8" t="s">
        <v>3</v>
      </c>
      <c r="E9" s="1"/>
    </row>
    <row r="10" spans="1:5" ht="14.25" customHeight="1" x14ac:dyDescent="0.25">
      <c r="A10" s="1"/>
      <c r="B10" s="65" t="s">
        <v>172</v>
      </c>
      <c r="C10" s="7">
        <v>0</v>
      </c>
      <c r="D10" s="8" t="s">
        <v>3</v>
      </c>
      <c r="E10" s="1"/>
    </row>
    <row r="11" spans="1:5" ht="14.25" customHeight="1" x14ac:dyDescent="0.25">
      <c r="A11" s="1"/>
      <c r="B11" s="82" t="s">
        <v>48</v>
      </c>
      <c r="C11" s="10">
        <f>C10-C9</f>
        <v>0</v>
      </c>
      <c r="D11" s="11" t="s">
        <v>3</v>
      </c>
      <c r="E11" s="1"/>
    </row>
    <row r="12" spans="1:5" ht="14.25" customHeight="1" x14ac:dyDescent="0.25">
      <c r="A12" s="1"/>
      <c r="B12" s="108" t="s">
        <v>217</v>
      </c>
      <c r="C12" s="109"/>
      <c r="D12" s="110"/>
      <c r="E12" s="1"/>
    </row>
    <row r="13" spans="1:5" ht="26.25" x14ac:dyDescent="0.25">
      <c r="A13" s="1"/>
      <c r="B13" s="79" t="s">
        <v>216</v>
      </c>
      <c r="C13" s="7">
        <v>0</v>
      </c>
      <c r="D13" s="8" t="s">
        <v>3</v>
      </c>
      <c r="E13" s="1"/>
    </row>
    <row r="14" spans="1:5" ht="14.25" customHeight="1" x14ac:dyDescent="0.25">
      <c r="A14" s="1"/>
      <c r="B14" s="65" t="s">
        <v>173</v>
      </c>
      <c r="C14" s="7">
        <v>0</v>
      </c>
      <c r="D14" s="8" t="s">
        <v>3</v>
      </c>
      <c r="E14" s="1"/>
    </row>
    <row r="15" spans="1:5" ht="14.25" customHeight="1" x14ac:dyDescent="0.25">
      <c r="A15" s="1"/>
      <c r="B15" s="82"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nmSFsL9QeB3dQ3Y1U3wZuF9prUQu6VUTFRO57mPLYVxmCRrkrswtGfhf0KSmEKVWJgnfBhngON9904M45viYbQ==" saltValue="tGnYWVGdmWSbqgQgPtbxZ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6" t="s">
        <v>219</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Y7kqLSnEh9YF/mHpVaRBGiEq4qa1RzXAE6tYCisnICZI0lOw44qWtsnBwrWDXth3CdQHH1pCjKLsgWRrw18gbQ==" saltValue="ZYjHitmOi/PP3OLpi0tOT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233</v>
      </c>
      <c r="C11" s="21">
        <v>85497</v>
      </c>
      <c r="D11" s="14" t="s">
        <v>3</v>
      </c>
      <c r="E11" s="9">
        <v>3666400.32</v>
      </c>
      <c r="F11" s="14" t="s">
        <v>3</v>
      </c>
      <c r="G11" s="1"/>
    </row>
    <row r="12" spans="1:7" x14ac:dyDescent="0.25">
      <c r="A12" s="1"/>
      <c r="B12" s="24" t="s">
        <v>234</v>
      </c>
      <c r="C12" s="21">
        <v>216728.61</v>
      </c>
      <c r="D12" s="14" t="s">
        <v>3</v>
      </c>
      <c r="E12" s="9">
        <v>372965.93</v>
      </c>
      <c r="F12" s="14" t="s">
        <v>3</v>
      </c>
      <c r="G12" s="1"/>
    </row>
    <row r="13" spans="1:7" ht="26.25" x14ac:dyDescent="0.25">
      <c r="A13" s="1"/>
      <c r="B13" s="70" t="s">
        <v>235</v>
      </c>
      <c r="C13" s="21">
        <v>62722</v>
      </c>
      <c r="D13" s="14" t="s">
        <v>3</v>
      </c>
      <c r="E13" s="9">
        <v>0</v>
      </c>
      <c r="F13" s="14" t="s">
        <v>3</v>
      </c>
      <c r="G13" s="1"/>
    </row>
    <row r="14" spans="1:7" x14ac:dyDescent="0.25">
      <c r="A14" s="1"/>
      <c r="B14" s="24" t="s">
        <v>236</v>
      </c>
      <c r="C14" s="21">
        <v>23528</v>
      </c>
      <c r="D14" s="14" t="s">
        <v>3</v>
      </c>
      <c r="E14" s="9">
        <v>0</v>
      </c>
      <c r="F14" s="14" t="s">
        <v>3</v>
      </c>
      <c r="G14" s="1"/>
    </row>
    <row r="15" spans="1:7" x14ac:dyDescent="0.25">
      <c r="A15" s="1"/>
      <c r="B15" s="24" t="s">
        <v>237</v>
      </c>
      <c r="C15" s="21">
        <v>0</v>
      </c>
      <c r="D15" s="14" t="s">
        <v>3</v>
      </c>
      <c r="E15" s="9">
        <v>144426</v>
      </c>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388475.61</v>
      </c>
      <c r="D19" s="13" t="s">
        <v>3</v>
      </c>
      <c r="E19" s="12">
        <f>SUM(E10:E18)</f>
        <v>4183792.25</v>
      </c>
      <c r="F19" s="13" t="s">
        <v>3</v>
      </c>
      <c r="G19" s="1"/>
    </row>
    <row r="20" spans="1:7" x14ac:dyDescent="0.25">
      <c r="A20" s="1"/>
      <c r="B20" s="33" t="s">
        <v>175</v>
      </c>
      <c r="C20" s="12">
        <f>C19*(1+'Fane 15. Nøgletal'!C10)</f>
        <v>414231.54294299998</v>
      </c>
      <c r="D20" s="13" t="s">
        <v>3</v>
      </c>
      <c r="E20" s="12">
        <f>E19*(1+'Fane 15. Nøgletal'!C10)</f>
        <v>4461177.6761750001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OAolycYdL1Ld/C/14IdgfkLBuL94csHoi+2kOZ97XRIkIDJTOL347/AK0tenS0KLRF7ERMwjcz4ILhfaj35pPA==" saltValue="VtAGLxx2Q9WteI9LVQHcg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ht="26.25" x14ac:dyDescent="0.25">
      <c r="A10" s="1"/>
      <c r="B10" s="70" t="s">
        <v>235</v>
      </c>
      <c r="C10" s="21">
        <v>188165</v>
      </c>
      <c r="D10" s="14" t="s">
        <v>3</v>
      </c>
      <c r="E10" s="9">
        <v>0</v>
      </c>
      <c r="F10" s="14" t="s">
        <v>3</v>
      </c>
      <c r="G10" s="1"/>
    </row>
    <row r="11" spans="1:7" x14ac:dyDescent="0.25">
      <c r="A11" s="1"/>
      <c r="B11" s="24" t="s">
        <v>236</v>
      </c>
      <c r="C11" s="21">
        <v>235283</v>
      </c>
      <c r="D11" s="14" t="s">
        <v>3</v>
      </c>
      <c r="E11" s="9">
        <v>0</v>
      </c>
      <c r="F11" s="14" t="s">
        <v>3</v>
      </c>
      <c r="G11" s="1"/>
    </row>
    <row r="12" spans="1:7" x14ac:dyDescent="0.25">
      <c r="A12" s="1"/>
      <c r="B12" s="24"/>
      <c r="C12" s="21"/>
      <c r="D12" s="14" t="s">
        <v>3</v>
      </c>
      <c r="E12" s="9"/>
      <c r="F12" s="14" t="s">
        <v>3</v>
      </c>
      <c r="G12" s="1"/>
    </row>
    <row r="13" spans="1:7" x14ac:dyDescent="0.25">
      <c r="A13" s="1"/>
      <c r="B13" s="33" t="s">
        <v>177</v>
      </c>
      <c r="C13" s="12">
        <f>SUM(C10:C12)</f>
        <v>423448</v>
      </c>
      <c r="D13" s="13" t="s">
        <v>3</v>
      </c>
      <c r="E13" s="12">
        <f>SUM(E10:E12)</f>
        <v>0</v>
      </c>
      <c r="F13" s="13" t="s">
        <v>3</v>
      </c>
      <c r="G13" s="1"/>
    </row>
    <row r="14" spans="1:7" x14ac:dyDescent="0.25">
      <c r="A14" s="1"/>
      <c r="B14" s="33" t="s">
        <v>178</v>
      </c>
      <c r="C14" s="12">
        <f>C13*(1+'Fane 15. Nøgletal'!C10)^2</f>
        <v>481458.55093912</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3gHaFrYrQT7VsCTYXfSn+AWyzjdd3raxRHg/jVV6eCdKpxlDAEML5Jj4QqyGIIXimHkJNYpbpLEEyrlwI8jiKA==" saltValue="SulSxSQcnuqowLWL7H9FzQ=="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xkSQlf9/CkDzLV3L4yAbPmx7hopZIqfEOMAFtnh7Qm+D/5Owo3+cCdtSKDiOVtBgGNyw70ZiaLaX20SJhgb8BA==" saltValue="vE0xp1AyjFRv4Ub31dGLcQ=="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vXsjLivIs9VvcHS+/VvdJQ5p9KnhWEVmq62TiYDe87giKqXsX5P1+l8U9Dg6orGbvjzbjLXb+Hxc+Y6SpJdfuw==" saltValue="um8SosY09nT7ng6APoIkQg=="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SXRTy6fsdWGPc9lHBcTOV8RSvY5MJN3RNzXMmXw0dbj+nLk8WrVO0mvIHhclsiPlw9w+gJXXAM6kkMFc4Ygigg==" saltValue="z6w/fos2X+AJdXoG+jo6c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140326287.67185262</v>
      </c>
      <c r="D9" s="8" t="s">
        <v>3</v>
      </c>
      <c r="E9" s="1"/>
    </row>
    <row r="10" spans="1:5" ht="17.25" customHeight="1" x14ac:dyDescent="0.25">
      <c r="A10" s="1"/>
      <c r="B10" s="64" t="s">
        <v>35</v>
      </c>
      <c r="C10" s="7">
        <f>'Fane 11.1. Varige tillæg'!C20</f>
        <v>414231.54294299998</v>
      </c>
      <c r="D10" s="8" t="s">
        <v>3</v>
      </c>
      <c r="E10" s="1"/>
    </row>
    <row r="11" spans="1:5" ht="17.25" customHeight="1" x14ac:dyDescent="0.25">
      <c r="A11" s="1"/>
      <c r="B11" s="64" t="s">
        <v>36</v>
      </c>
      <c r="C11" s="9">
        <f>'Fane 11.1. Varige tillæg'!E20</f>
        <v>4461177.6761750001</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11661603.675113214</v>
      </c>
      <c r="D16" s="8" t="s">
        <v>3</v>
      </c>
      <c r="E16" s="1"/>
    </row>
    <row r="17" spans="1:5" ht="17.25" customHeight="1" x14ac:dyDescent="0.25">
      <c r="A17" s="1"/>
      <c r="B17" s="64" t="s">
        <v>10</v>
      </c>
      <c r="C17" s="38">
        <f>-SUM(C9,C10:C16)*'Fane 5. Individuelt eff. krav'!C9</f>
        <v>-842205.77621047758</v>
      </c>
      <c r="D17" s="8" t="s">
        <v>3</v>
      </c>
      <c r="E17" s="1"/>
    </row>
    <row r="18" spans="1:5" ht="17.25" customHeight="1" x14ac:dyDescent="0.25">
      <c r="A18" s="1"/>
      <c r="B18" s="64" t="s">
        <v>22</v>
      </c>
      <c r="C18" s="38">
        <f>-'Fane 4.1. Gen. krav - drift'!C17</f>
        <v>-998333.1901067713</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155022761.59976655</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6308753.1459835814</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481458.55093912</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-12214.142590485551</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469244.40834863443</v>
      </c>
      <c r="D30" s="11" t="s">
        <v>3</v>
      </c>
      <c r="E30" s="1"/>
    </row>
    <row r="31" spans="1:5" x14ac:dyDescent="0.25">
      <c r="A31" s="1"/>
      <c r="B31" s="33" t="s">
        <v>69</v>
      </c>
      <c r="C31" s="28"/>
      <c r="D31" s="19"/>
      <c r="E31" s="1"/>
    </row>
    <row r="32" spans="1:5" x14ac:dyDescent="0.25">
      <c r="A32" s="1"/>
      <c r="B32" s="31" t="s">
        <v>79</v>
      </c>
      <c r="C32" s="62">
        <f>'Fane 7. Kontrol af ØR2023'!C27</f>
        <v>-2888417.0450578555</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158912342.10904092</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8OaRw9t6bvvzhVVVfP9FaNWFbTkggmBBe8UE8lc45QcM1vZvUG/SEtvwYvpvWI+g/062wvamE4vtDAGXDRV6vA==" saltValue="ve3ngiYxoCob2nCdrhI1m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QHdfocXg2eP+CkkrDuI6JKoZI+t2hiujfwqjvbXQZQmpN74Mje03aVhftCAJu0xoedF2ko6o+2s1yP3HQogEJQ==" saltValue="3pLHAlmojP3f1PgQQnqdL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155022761.59976655</v>
      </c>
      <c r="D9" s="8" t="s">
        <v>3</v>
      </c>
      <c r="E9" s="1"/>
    </row>
    <row r="10" spans="1:5" ht="15" customHeight="1" x14ac:dyDescent="0.25">
      <c r="A10" s="1"/>
      <c r="B10" s="26" t="s">
        <v>19</v>
      </c>
      <c r="C10" s="7">
        <f>C9*'Fane 15. Nøgletal'!C10</f>
        <v>10278009.094064523</v>
      </c>
      <c r="D10" s="8" t="s">
        <v>3</v>
      </c>
      <c r="E10" s="1"/>
    </row>
    <row r="11" spans="1:5" ht="15" customHeight="1" x14ac:dyDescent="0.25">
      <c r="A11" s="1"/>
      <c r="B11" s="26" t="s">
        <v>10</v>
      </c>
      <c r="C11" s="9">
        <f>-SUM(C9:C10)*'Fane 5. Individuelt eff. krav'!C9</f>
        <v>-887506.9145426933</v>
      </c>
      <c r="D11" s="8" t="s">
        <v>3</v>
      </c>
      <c r="E11" s="1"/>
    </row>
    <row r="12" spans="1:5" ht="15" customHeight="1" x14ac:dyDescent="0.25">
      <c r="A12" s="1"/>
      <c r="B12" s="26" t="s">
        <v>22</v>
      </c>
      <c r="C12" s="9">
        <f>-'Fane 4.1. Gen. krav - drift'!C22</f>
        <v>-1043232.2269986334</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163370031.55228975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6698445.328662293</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-452421.38661382347</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169616055.49433824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tcTWcrMIYJsspYgy/bVCkAeCCnkfHvVTNW3DKjvrMudWkqhhXmLAdnYGMaxGEvxN8Mw3AwjxHraRQ0ntR8emQ==" saltValue="aAdqMB1kcPr9/ey+gB9YNg=="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163370031.55228975</v>
      </c>
      <c r="D9" s="8" t="s">
        <v>3</v>
      </c>
      <c r="E9" s="1"/>
    </row>
    <row r="10" spans="1:5" ht="15" customHeight="1" x14ac:dyDescent="0.25">
      <c r="A10" s="1"/>
      <c r="B10" s="26" t="s">
        <v>19</v>
      </c>
      <c r="C10" s="7">
        <f>SUM(C9:C9)*'Fane 15. Nøgletal'!C10</f>
        <v>10831433.091916811</v>
      </c>
      <c r="D10" s="8" t="s">
        <v>3</v>
      </c>
      <c r="E10" s="1"/>
    </row>
    <row r="11" spans="1:5" ht="15" customHeight="1" x14ac:dyDescent="0.25">
      <c r="A11" s="1"/>
      <c r="B11" s="26" t="s">
        <v>10</v>
      </c>
      <c r="C11" s="9">
        <f>-SUM(C9:C10)*'Fane 5. Individuelt eff. krav'!C9</f>
        <v>-935295.1214096644</v>
      </c>
      <c r="D11" s="8" t="s">
        <v>3</v>
      </c>
      <c r="E11" s="1"/>
    </row>
    <row r="12" spans="1:5" ht="15" customHeight="1" x14ac:dyDescent="0.25">
      <c r="A12" s="1"/>
      <c r="B12" s="26" t="s">
        <v>22</v>
      </c>
      <c r="C12" s="9">
        <f>-'Fane 4.1. Gen. krav - drift'!C27</f>
        <v>-1090150.5531756699</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172176018.96962124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7113974.1030526031</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-452421.38661382347</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178837571.68606004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guVbuLRyhB/EkuNcEg7XizgpF3ZnbPEw6aKTZjbP6lBDoShOIrCme4k4xEnt9BlJ2dcJikql9MeJE3OZlGRpMg==" saltValue="os4VLUoJSJkYcQ/j1YSMM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172176018.96962124</v>
      </c>
      <c r="D9" s="8" t="s">
        <v>3</v>
      </c>
      <c r="E9" s="1"/>
    </row>
    <row r="10" spans="1:5" ht="15" customHeight="1" x14ac:dyDescent="0.25">
      <c r="A10" s="1"/>
      <c r="B10" s="26" t="s">
        <v>19</v>
      </c>
      <c r="C10" s="7">
        <f>SUM(C9:C9)*'Fane 15. Nøgletal'!C10</f>
        <v>11415270.057685887</v>
      </c>
      <c r="D10" s="8" t="s">
        <v>3</v>
      </c>
      <c r="E10" s="1"/>
    </row>
    <row r="11" spans="1:5" ht="15" customHeight="1" x14ac:dyDescent="0.25">
      <c r="A11" s="1"/>
      <c r="B11" s="26" t="s">
        <v>10</v>
      </c>
      <c r="C11" s="9">
        <f>-SUM(C9:C10)*'Fane 5. Individuelt eff. krav'!C9</f>
        <v>-985709.49051008828</v>
      </c>
      <c r="D11" s="8" t="s">
        <v>3</v>
      </c>
      <c r="E11" s="1"/>
    </row>
    <row r="12" spans="1:5" ht="15" customHeight="1" x14ac:dyDescent="0.25">
      <c r="A12" s="1"/>
      <c r="B12" s="26" t="s">
        <v>22</v>
      </c>
      <c r="C12" s="9">
        <f>-'Fane 4.1. Gen. krav - drift'!C32</f>
        <v>-1139178.9841541925</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181466400.55264285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7126009.435184991</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188592409.98782784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ja0oWcIX931d6efeBAk9Ey8HOWzJPY0U8FH7E4rYeEiSq2vkhxF3fhhWkXNKAUQml/8wSnoROHZBGR6Ja/4wHg==" saltValue="Lqcgalf/K3GgiiI4tbi1o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124176280.66139567</v>
      </c>
      <c r="D9" s="8" t="s">
        <v>3</v>
      </c>
      <c r="E9" s="1"/>
    </row>
    <row r="10" spans="1:5" ht="15" customHeight="1" x14ac:dyDescent="0.25">
      <c r="A10" s="1"/>
      <c r="B10" s="64" t="s">
        <v>35</v>
      </c>
      <c r="C10" s="7">
        <v>3208465.1496800003</v>
      </c>
      <c r="D10" s="8" t="s">
        <v>3</v>
      </c>
      <c r="E10" s="1"/>
    </row>
    <row r="11" spans="1:5" ht="15" customHeight="1" x14ac:dyDescent="0.25">
      <c r="A11" s="1"/>
      <c r="B11" s="64" t="s">
        <v>36</v>
      </c>
      <c r="C11" s="9">
        <v>4020717.20652</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10617561.411821729</v>
      </c>
      <c r="D16" s="8" t="s">
        <v>3</v>
      </c>
      <c r="E16" s="1"/>
    </row>
    <row r="17" spans="1:5" ht="15" customHeight="1" x14ac:dyDescent="0.25">
      <c r="A17" s="1"/>
      <c r="B17" s="64" t="s">
        <v>10</v>
      </c>
      <c r="C17" s="38">
        <v>-762527.69830599322</v>
      </c>
      <c r="D17" s="8" t="s">
        <v>3</v>
      </c>
      <c r="E17" s="1"/>
    </row>
    <row r="18" spans="1:5" ht="15" customHeight="1" x14ac:dyDescent="0.25">
      <c r="A18" s="1"/>
      <c r="B18" s="64" t="s">
        <v>22</v>
      </c>
      <c r="C18" s="38">
        <v>-934209.05925879627</v>
      </c>
      <c r="D18" s="8" t="s">
        <v>3</v>
      </c>
      <c r="E18" s="1"/>
    </row>
    <row r="19" spans="1:5" ht="15" customHeight="1" x14ac:dyDescent="0.25">
      <c r="A19" s="1"/>
      <c r="B19" s="64" t="s">
        <v>23</v>
      </c>
      <c r="C19" s="38">
        <v>0</v>
      </c>
      <c r="D19" s="8" t="s">
        <v>3</v>
      </c>
      <c r="E19" s="43"/>
    </row>
    <row r="20" spans="1:5" ht="15" customHeight="1" x14ac:dyDescent="0.25">
      <c r="A20" s="1"/>
      <c r="B20" s="82" t="s">
        <v>21</v>
      </c>
      <c r="C20" s="10">
        <v>140326287.67185262</v>
      </c>
      <c r="D20" s="11" t="s">
        <v>3</v>
      </c>
      <c r="E20" s="1"/>
    </row>
    <row r="21" spans="1:5" ht="15" customHeight="1" x14ac:dyDescent="0.25">
      <c r="A21" s="1"/>
      <c r="B21" s="33" t="s">
        <v>12</v>
      </c>
      <c r="C21" s="28"/>
      <c r="D21" s="19"/>
      <c r="E21" s="1"/>
    </row>
    <row r="22" spans="1:5" ht="15" customHeight="1" x14ac:dyDescent="0.25">
      <c r="A22" s="1"/>
      <c r="B22" s="31" t="s">
        <v>12</v>
      </c>
      <c r="C22" s="10">
        <v>5778734.6523410687</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9">
        <v>184849.34850815998</v>
      </c>
      <c r="D26" s="8" t="s">
        <v>3</v>
      </c>
      <c r="E26" s="1"/>
    </row>
    <row r="27" spans="1:5" ht="15" customHeight="1" x14ac:dyDescent="0.25">
      <c r="A27" s="1"/>
      <c r="B27" s="64" t="s">
        <v>38</v>
      </c>
      <c r="C27" s="9">
        <v>0</v>
      </c>
      <c r="D27" s="8" t="s">
        <v>3</v>
      </c>
      <c r="E27" s="1"/>
    </row>
    <row r="28" spans="1:5" ht="15" customHeight="1" x14ac:dyDescent="0.25">
      <c r="A28" s="1"/>
      <c r="B28" s="64" t="s">
        <v>92</v>
      </c>
      <c r="C28" s="9">
        <v>-4689.4510358847429</v>
      </c>
      <c r="D28" s="8" t="s">
        <v>3</v>
      </c>
      <c r="E28" s="1"/>
    </row>
    <row r="29" spans="1:5" ht="15" customHeight="1" x14ac:dyDescent="0.25">
      <c r="A29" s="1"/>
      <c r="B29" s="64" t="s">
        <v>93</v>
      </c>
      <c r="C29" s="9">
        <v>0</v>
      </c>
      <c r="D29" s="8" t="s">
        <v>3</v>
      </c>
      <c r="E29" s="1"/>
    </row>
    <row r="30" spans="1:5" ht="15" customHeight="1" x14ac:dyDescent="0.25">
      <c r="A30" s="1"/>
      <c r="B30" s="67" t="s">
        <v>43</v>
      </c>
      <c r="C30" s="10">
        <v>180159.89747227525</v>
      </c>
      <c r="D30" s="11" t="s">
        <v>3</v>
      </c>
      <c r="E30" s="1"/>
    </row>
    <row r="31" spans="1:5" ht="15" customHeight="1" x14ac:dyDescent="0.25">
      <c r="A31" s="1"/>
      <c r="B31" s="33" t="s">
        <v>69</v>
      </c>
      <c r="C31" s="28"/>
      <c r="D31" s="19"/>
      <c r="E31" s="1"/>
    </row>
    <row r="32" spans="1:5" ht="15" customHeight="1" x14ac:dyDescent="0.25">
      <c r="A32" s="1"/>
      <c r="B32" s="31" t="s">
        <v>79</v>
      </c>
      <c r="C32" s="10">
        <v>-2888417</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143396765.22166595</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GuSVjJ65RM1pS3sEzBAHVjo1POgF6BT8gBNDnSeZMVBJeoAQmJTVZFYX5Z1BQ5rryNzi+tct7RDumSJazjdOQA==" saltValue="NOBgTsBBfQLZ9o7nKR2VDQ=="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43242743.829165667</v>
      </c>
      <c r="D9" s="14" t="s">
        <v>3</v>
      </c>
      <c r="E9" s="1"/>
    </row>
    <row r="10" spans="1:5" x14ac:dyDescent="0.25">
      <c r="A10" s="1"/>
      <c r="B10" s="65" t="s">
        <v>125</v>
      </c>
      <c r="C10" s="23">
        <f>('Fane 3. Omkostninger i ØR2024'!C10+'Fane 3. Omkostninger i ØR2024'!C12+'Fane 3. Omkostninger i ØR2024'!C14)*(1+'Fane 15. Nøgletal'!C9)</f>
        <v>3467709.1337741441</v>
      </c>
      <c r="D10" s="14" t="s">
        <v>3</v>
      </c>
      <c r="E10" s="1"/>
    </row>
    <row r="11" spans="1:5" x14ac:dyDescent="0.25">
      <c r="A11" s="1"/>
      <c r="B11" s="65" t="s">
        <v>131</v>
      </c>
      <c r="C11" s="23">
        <f>C9*'Fane 15. Nøgletal'!C21+C10*'Fane 15. Nøgletal'!C21</f>
        <v>934209.05925879627</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49474964.411098443</v>
      </c>
      <c r="D15" s="14" t="s">
        <v>3</v>
      </c>
      <c r="E15" s="1"/>
    </row>
    <row r="16" spans="1:5" x14ac:dyDescent="0.25">
      <c r="A16" s="1"/>
      <c r="B16" s="65" t="s">
        <v>184</v>
      </c>
      <c r="C16" s="23">
        <f>('Fane 2.1. Økonomisk ramme 2025'!C10+'Fane 2.1. Økonomisk ramme 2025'!C12+'Fane 2.1. Økonomisk ramme 2025'!C14)*(1+'Fane 15. Nøgletal'!C10)</f>
        <v>441695.0942401209</v>
      </c>
      <c r="D16" s="14" t="s">
        <v>3</v>
      </c>
      <c r="E16" s="1"/>
    </row>
    <row r="17" spans="1:5" x14ac:dyDescent="0.25">
      <c r="A17" s="1"/>
      <c r="B17" s="65" t="s">
        <v>132</v>
      </c>
      <c r="C17" s="23">
        <f>C15*'Fane 15. Nøgletal'!C21+C16*'Fane 15. Nøgletal'!C21</f>
        <v>998333.1901067713</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52161611.349931665</v>
      </c>
      <c r="D21" s="14" t="s">
        <v>3</v>
      </c>
      <c r="E21" s="1"/>
    </row>
    <row r="22" spans="1:5" x14ac:dyDescent="0.25">
      <c r="A22" s="1"/>
      <c r="B22" s="65" t="s">
        <v>196</v>
      </c>
      <c r="C22" s="23">
        <f>C21*'Fane 15. Nøgletal'!C21</f>
        <v>1043232.2269986334</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54507527.658783488</v>
      </c>
      <c r="D26" s="14" t="s">
        <v>3</v>
      </c>
      <c r="E26" s="1"/>
    </row>
    <row r="27" spans="1:5" x14ac:dyDescent="0.25">
      <c r="A27" s="1"/>
      <c r="B27" s="65" t="s">
        <v>194</v>
      </c>
      <c r="C27" s="23">
        <f>C26*'Fane 15. Nøgletal'!C21</f>
        <v>1090150.5531756699</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56958949.207709618</v>
      </c>
      <c r="D31" s="14" t="s">
        <v>3</v>
      </c>
      <c r="E31" s="1"/>
    </row>
    <row r="32" spans="1:5" x14ac:dyDescent="0.25">
      <c r="A32" s="1"/>
      <c r="B32" s="65" t="s">
        <v>195</v>
      </c>
      <c r="C32" s="23">
        <f>C31*'Fane 15. Nøgletal'!C21</f>
        <v>1139178.9841541925</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3p3I7M9r5VLEv8p5c7HxwlpjblmGPmfgG+jOsa4OvPU0GRyMkMIfkDotsPGRwhwQXPAi94qzEcm+BMM3/rulxA==" saltValue="FGrq/HWG6Am/5BXb6eIjuw=="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96011465.312192291</v>
      </c>
      <c r="D9" s="14" t="s">
        <v>3</v>
      </c>
      <c r="E9" s="1"/>
    </row>
    <row r="10" spans="1:5" x14ac:dyDescent="0.25">
      <c r="A10" s="1"/>
      <c r="B10" s="65" t="s">
        <v>126</v>
      </c>
      <c r="C10" s="23">
        <f>('Fane 3. Omkostninger i ØR2024'!C11+'Fane 3. Omkostninger i ØR2024'!C13+'Fane 3. Omkostninger i ØR2024'!C15)*(1+'Fane 15. Nøgletal'!C9)</f>
        <v>4345591.1568068163</v>
      </c>
      <c r="D10" s="14" t="s">
        <v>3</v>
      </c>
      <c r="E10" s="1"/>
    </row>
    <row r="11" spans="1:5" x14ac:dyDescent="0.25">
      <c r="A11" s="1"/>
      <c r="B11" s="65" t="s">
        <v>135</v>
      </c>
      <c r="C11" s="7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108465906.63169423</v>
      </c>
      <c r="D15" s="14" t="s">
        <v>3</v>
      </c>
      <c r="E15" s="1"/>
    </row>
    <row r="16" spans="1:5" x14ac:dyDescent="0.25">
      <c r="A16" s="1"/>
      <c r="B16" s="65" t="s">
        <v>185</v>
      </c>
      <c r="C16" s="23">
        <f>('Fane 2.1. Økonomisk ramme 2025'!C11+'Fane 2.1. Økonomisk ramme 2025'!C13+'Fane 2.1. Økonomisk ramme 2025'!C15)*(1+'Fane 15. Nøgletal'!C10)</f>
        <v>4756953.7561054025</v>
      </c>
      <c r="D16" s="14" t="s">
        <v>3</v>
      </c>
      <c r="E16" s="1"/>
    </row>
    <row r="17" spans="1:5" x14ac:dyDescent="0.25">
      <c r="A17" s="1"/>
      <c r="B17" s="65" t="s">
        <v>137</v>
      </c>
      <c r="C17" s="7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120729536.03151076</v>
      </c>
      <c r="D21" s="14" t="s">
        <v>3</v>
      </c>
      <c r="E21" s="1"/>
    </row>
    <row r="22" spans="1:5" x14ac:dyDescent="0.25">
      <c r="A22" s="1"/>
      <c r="B22" s="65" t="s">
        <v>197</v>
      </c>
      <c r="C22" s="7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128733904.27039993</v>
      </c>
      <c r="D26" s="14" t="s">
        <v>3</v>
      </c>
      <c r="E26" s="1"/>
    </row>
    <row r="27" spans="1:5" x14ac:dyDescent="0.25">
      <c r="A27" s="1"/>
      <c r="B27" s="65" t="s">
        <v>198</v>
      </c>
      <c r="C27" s="7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137268962.12352744</v>
      </c>
      <c r="D31" s="14" t="s">
        <v>3</v>
      </c>
      <c r="E31" s="1"/>
    </row>
    <row r="32" spans="1:5" x14ac:dyDescent="0.25">
      <c r="A32" s="1"/>
      <c r="B32" s="65" t="s">
        <v>199</v>
      </c>
      <c r="C32" s="7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M+2aYUsmTGC225veJb/yMZ0abcCrnbgSRP8HOUaZSpl8C7Yr/hsyjUp6BrtlcVofDjo7mwbGRd0T7Du/C0Z9Sw==" saltValue="nabRqcrNKvNj5uA0wq5Gf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5.3690428109771328E-3</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OqBzFkzyJWcgvjxws142x5h/TnVU+hvgDTjLLrfYNkBuPMnKpPVZhHKDO5D3FTScoQoraR0QTCJtyOsWgKGnQ==" saltValue="yteTRI8EBQPpObz1NMcCT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2024-10-03T09:26:53Z</dcterms:modified>
</cp:coreProperties>
</file>