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DIN Forsyning Vand AS (V04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6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7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<sst xmlns="http://schemas.openxmlformats.org/spreadsheetml/2006/main" count="624" uniqueCount="256">
  <si>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</si>
  <si>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</si>
  <si>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</si>
  <si>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</si>
  <si>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</si>
  <si>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</si>
  <si>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</si>
  <si>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</si>
  <si>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</si>
  <si>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</si>
  <si>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</si>
  <si>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</si>
  <si>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</si>
  <si>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</si>
  <si>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</si>
  <si>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</si>
  <si>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</si>
  <si>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</si>
  <si>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</si>
  <si>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</si>
  <si>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</si>
  <si>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</si>
  <si>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</si>
  <si>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</si>
  <si>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</si>
  <si>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</si>
  <si>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</si>
  <si>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</si>
  <si>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</si>
  <si>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</si>
  <si>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</si>
  <si>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</si>
  <si>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</si>
  <si>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</si>
  <si>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</si>
  <si>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</si>
  <si>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</si>
  <si>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</si>
  <si>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</si>
  <si>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</si>
  <si>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</si>
  <si>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</si>
  <si>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</si>
  <si>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</si>
  <si>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</si>
  <si>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</si>
  <si>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</si>
  <si>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</si>
  <si>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</si>
  <si>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</si>
  <si>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</si>
  <si>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</si>
  <si>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</si>
  <si>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</si>
  <si>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</si>
  <si>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</si>
  <si>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</si>
  <si>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</si>
  <si>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</si>
  <si>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</si>
  <si>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</si>
  <si>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</si>
  <si>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</si>
  <si>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</si>
  <si>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</si>
  <si>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</si>
  <si>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</si>
  <si>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</si>
  <si>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</si>
  <si>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</si>
  <si>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</si>
  <si>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</si>
  <si>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</si>
  <si>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</si>
  <si>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</si>
  <si>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</si>
  <si>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</si>
  <si>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</si>
  <si>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</si>
  <si>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</si>
  <si>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</si>
  <si>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</si>
  <si>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</si>
  <si>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</si>
  <si>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</si>
  <si>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</si>
  <si>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</si>
  <si>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</si>
  <si>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</si>
  <si>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</si>
  <si>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</si>
  <si>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</si>
  <si>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</si>
  <si>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</si>
  <si>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</si>
  <si>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</si>
  <si>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</si>
  <si>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</si>
  <si>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</si>
  <si>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</si>
  <si>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</si>
  <si>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</si>
  <si>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</si>
  <si>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</si>
  <si>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</si>
  <si>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</si>
  <si>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</si>
  <si>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</si>
  <si>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</si>
  <si>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</si>
  <si>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</si>
  <si>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</si>
  <si>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</si>
  <si>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</si>
  <si>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</si>
  <si>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</si>
  <si>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</si>
  <si>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</si>
  <si>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</si>
  <si>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</si>
  <si>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</si>
  <si>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</si>
  <si>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</si>
  <si>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</si>
  <si>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</si>
  <si>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</si>
  <si>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</si>
  <si>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</si>
  <si>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</si>
  <si>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</si>
  <si>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</si>
  <si>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</si>
  <si>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</si>
  <si>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</si>
  <si>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</si>
  <si>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</si>
  <si>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</si>
  <si>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</si>
  <si>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</si>
  <si>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</si>
  <si>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</si>
  <si>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</si>
  <si>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</si>
  <si>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</si>
  <si>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</si>
  <si>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</si>
  <si>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</si>
  <si>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</si>
  <si>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</si>
  <si>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</si>
  <si>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</si>
  <si>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</si>
  <si>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</si>
  <si>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</si>
  <si>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</si>
  <si>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</si>
  <si>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</si>
  <si>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</si>
  <si>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</si>
  <si>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</si>
  <si>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</si>
  <si>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</si>
  <si>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</si>
  <si>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</si>
  <si>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</si>
  <si>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</si>
  <si>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</si>
  <si>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</si>
  <si>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</si>
  <si>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</si>
  <si>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</si>
  <si>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</si>
  <si>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</si>
  <si>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</si>
  <si>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</si>
  <si>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</si>
  <si>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</si>
  <si>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</si>
  <si>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</si>
  <si>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</si>
  <si>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</si>
  <si>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</si>
  <si>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</si>
  <si>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</si>
  <si>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</si>
  <si>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</si>
  <si>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</si>
  <si>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</si>
  <si>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</si>
  <si>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</si>
  <si>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</si>
  <si>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</si>
  <si>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</si>
  <si>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</si>
  <si>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</si>
  <si>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</si>
  <si>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</si>
  <si>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</si>
  <si>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</si>
  <si>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</si>
  <si>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</si>
  <si>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</si>
  <si>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</si>
  <si>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</si>
  <si>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</si>
  <si>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</si>
  <si>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</si>
  <si>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</si>
  <si>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</si>
  <si>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</si>
  <si>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</si>
  <si>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</si>
  <si>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</si>
  <si>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</si>
  <si>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</si>
  <si>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</si>
  <si>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</si>
  <si>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</si>
  <si>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</si>
  <si>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</si>
  <si>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</si>
  <si>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</si>
  <si>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</si>
  <si>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</si>
  <si>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</si>
  <si>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</si>
  <si>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</si>
  <si>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</si>
  <si>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</si>
  <si>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</si>
  <si>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</si>
  <si>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</si>
  <si>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</si>
  <si>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</si>
  <si>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</si>
  <si>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</si>
  <si>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</si>
  <si>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</si>
  <si>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</si>
  <si>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</si>
  <si>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</si>
  <si>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</si>
  <si>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</si>
  <si>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</si>
  <si>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</si>
  <si>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</si>
  <si>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Udvidelse af forsyningsområdet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</si>
  <si>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</si>
  <si>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</si>
  <si>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</si>
  <si>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</si>
  <si>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</si>
  <si>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</si>
  <si>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</si>
  <si>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</si>
  <si>
    <t>Frivillige aftaler om dyrkningspraksis eller andre restriktioner i arealanvendelse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</si>
</sst>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>
        <row r="3">
          <cell r="A3" t="str">
            <v>S016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254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2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2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2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M6MRN9OBqTwMYezfVEo5pl7dG+r78GGNmvcHqXDiUxRmZ6ar73F6DM3xQeCkM2fL4gguw35Oftil7VIE6N1Bg==" saltValue="CpAGiYlnJbPyFLuTbhoEh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202</v>
      </c>
      <c r="C8" s="112"/>
      <c r="D8" s="113"/>
      <c r="E8" s="1"/>
      <c r="F8" s="1"/>
    </row>
    <row r="9" spans="1:6" ht="15" customHeight="1" x14ac:dyDescent="0.25">
      <c r="A9" s="1"/>
      <c r="B9" s="54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5" t="s">
        <v>227</v>
      </c>
      <c r="C10" s="9">
        <v>53679742</v>
      </c>
      <c r="D10" s="14" t="s">
        <v>3</v>
      </c>
      <c r="E10" s="1"/>
      <c r="F10" s="1"/>
    </row>
    <row r="11" spans="1:6" ht="15" customHeight="1" x14ac:dyDescent="0.25">
      <c r="A11" s="1"/>
      <c r="B11" s="65" t="s">
        <v>228</v>
      </c>
      <c r="C11" s="9">
        <v>218705</v>
      </c>
      <c r="D11" s="14" t="s">
        <v>3</v>
      </c>
      <c r="E11" s="1"/>
      <c r="F11" s="1"/>
    </row>
    <row r="12" spans="1:6" x14ac:dyDescent="0.25">
      <c r="A12" s="1"/>
      <c r="B12" s="65" t="s">
        <v>229</v>
      </c>
      <c r="C12" s="9">
        <v>979183</v>
      </c>
      <c r="D12" s="14" t="s">
        <v>3</v>
      </c>
      <c r="E12" s="1"/>
      <c r="F12" s="1"/>
    </row>
    <row r="13" spans="1:6" x14ac:dyDescent="0.25">
      <c r="A13" s="1"/>
      <c r="B13" s="65" t="s">
        <v>230</v>
      </c>
      <c r="C13" s="9">
        <v>215435</v>
      </c>
      <c r="D13" s="14" t="s">
        <v>3</v>
      </c>
      <c r="E13" s="1"/>
      <c r="F13" s="1"/>
    </row>
    <row r="14" spans="1:6" x14ac:dyDescent="0.25">
      <c r="A14" s="1"/>
      <c r="B14" s="65" t="s">
        <v>255</v>
      </c>
      <c r="C14" s="9">
        <v>88507</v>
      </c>
      <c r="D14" s="14" t="s">
        <v>3</v>
      </c>
      <c r="E14" s="1"/>
      <c r="F14" s="1"/>
    </row>
    <row r="15" spans="1:6" x14ac:dyDescent="0.25">
      <c r="A15" s="1"/>
      <c r="B15" s="65" t="s">
        <v>231</v>
      </c>
      <c r="C15" s="9">
        <v>12502.78</v>
      </c>
      <c r="D15" s="14" t="s">
        <v>3</v>
      </c>
      <c r="E15" s="1"/>
      <c r="F15" s="1"/>
    </row>
    <row r="16" spans="1:6" x14ac:dyDescent="0.25">
      <c r="A16" s="1"/>
      <c r="B16" s="57" t="s">
        <v>204</v>
      </c>
      <c r="C16" s="12">
        <f>SUM(C10:C15)</f>
        <v>55194074.780000001</v>
      </c>
      <c r="D16" s="13" t="s">
        <v>3</v>
      </c>
      <c r="E16" s="1"/>
      <c r="F16" s="1"/>
    </row>
    <row r="17" spans="1:6" x14ac:dyDescent="0.25">
      <c r="A17" s="1"/>
      <c r="B17" s="57" t="s">
        <v>205</v>
      </c>
      <c r="C17" s="12">
        <f>C16*(1+'Fane 12. Nøgletal'!C14)^2</f>
        <v>55558956.737022363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aqjJRxpTMDL+rWvWqUn+263i+4BK68pat/7rNQPjz4VVHgmTPIU+84Q2n5s5OVLlPqp6mlZuKuVGVEiTg+abqg==" saltValue="oACgHnpzJH9LC9tKWk7J5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233</v>
      </c>
      <c r="C8" s="112"/>
      <c r="D8" s="112"/>
      <c r="E8" s="112"/>
      <c r="F8" s="113"/>
      <c r="G8" s="1"/>
    </row>
    <row r="9" spans="1:7" x14ac:dyDescent="0.25">
      <c r="A9" s="1"/>
      <c r="B9" s="114" t="s">
        <v>234</v>
      </c>
      <c r="C9" s="115"/>
      <c r="D9" s="116"/>
      <c r="E9" s="9">
        <v>27512602.126567096</v>
      </c>
      <c r="F9" s="14" t="s">
        <v>3</v>
      </c>
      <c r="G9" s="1"/>
    </row>
    <row r="10" spans="1:7" x14ac:dyDescent="0.25">
      <c r="A10" s="1"/>
      <c r="B10" s="114" t="s">
        <v>235</v>
      </c>
      <c r="C10" s="115"/>
      <c r="D10" s="116"/>
      <c r="E10" s="9">
        <v>19395198.191741139</v>
      </c>
      <c r="F10" s="14" t="s">
        <v>3</v>
      </c>
      <c r="G10" s="1"/>
    </row>
    <row r="11" spans="1:7" x14ac:dyDescent="0.25">
      <c r="A11" s="1"/>
      <c r="B11" s="114" t="s">
        <v>236</v>
      </c>
      <c r="C11" s="115"/>
      <c r="D11" s="116"/>
      <c r="E11" s="9">
        <v>25585471.156568259</v>
      </c>
      <c r="F11" s="14" t="s">
        <v>3</v>
      </c>
      <c r="G11" s="1"/>
    </row>
    <row r="12" spans="1:7" x14ac:dyDescent="0.25">
      <c r="A12" s="1"/>
      <c r="B12" s="114" t="s">
        <v>237</v>
      </c>
      <c r="C12" s="115"/>
      <c r="D12" s="116"/>
      <c r="E12" s="9">
        <f>IF(OR(AND(E10&gt;0,E11&lt;0),AND(E11&lt;0,E34&gt;0)),E17+E18,E11)</f>
        <v>25585471.156568259</v>
      </c>
      <c r="F12" s="14" t="s">
        <v>3</v>
      </c>
      <c r="G12" s="1"/>
    </row>
    <row r="13" spans="1:7" x14ac:dyDescent="0.25">
      <c r="A13" s="1"/>
      <c r="B13" s="57"/>
      <c r="C13" s="58"/>
      <c r="D13" s="58"/>
      <c r="E13" s="58"/>
      <c r="F13" s="20"/>
      <c r="G13" s="1"/>
    </row>
    <row r="14" spans="1:7" ht="54.75" customHeight="1" x14ac:dyDescent="0.25">
      <c r="A14" s="1"/>
      <c r="B14" s="100" t="s">
        <v>238</v>
      </c>
      <c r="C14" s="101"/>
      <c r="D14" s="101"/>
      <c r="E14" s="101"/>
      <c r="F14" s="10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239</v>
      </c>
      <c r="C16" s="112"/>
      <c r="D16" s="112"/>
      <c r="E16" s="112"/>
      <c r="F16" s="113"/>
      <c r="G16" s="1"/>
    </row>
    <row r="17" spans="1:7" x14ac:dyDescent="0.25">
      <c r="A17" s="1"/>
      <c r="B17" s="114" t="s">
        <v>240</v>
      </c>
      <c r="C17" s="115"/>
      <c r="D17" s="116"/>
      <c r="E17" s="9">
        <v>0</v>
      </c>
      <c r="F17" s="14" t="s">
        <v>3</v>
      </c>
      <c r="G17" s="1"/>
    </row>
    <row r="18" spans="1:7" x14ac:dyDescent="0.25">
      <c r="A18" s="1"/>
      <c r="B18" s="114" t="s">
        <v>241</v>
      </c>
      <c r="C18" s="115"/>
      <c r="D18" s="116"/>
      <c r="E18" s="9">
        <v>0</v>
      </c>
      <c r="F18" s="14" t="s">
        <v>3</v>
      </c>
      <c r="G18" s="1"/>
    </row>
    <row r="19" spans="1:7" x14ac:dyDescent="0.25">
      <c r="A19" s="1"/>
      <c r="B19" s="57"/>
      <c r="C19" s="58"/>
      <c r="D19" s="58"/>
      <c r="E19" s="58"/>
      <c r="F19" s="20"/>
      <c r="G19" s="1"/>
    </row>
    <row r="20" spans="1:7" ht="30" customHeight="1" x14ac:dyDescent="0.25">
      <c r="A20" s="1"/>
      <c r="B20" s="100" t="s">
        <v>242</v>
      </c>
      <c r="C20" s="101"/>
      <c r="D20" s="101"/>
      <c r="E20" s="101"/>
      <c r="F20" s="10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62" t="s">
        <v>207</v>
      </c>
      <c r="C23" s="63"/>
      <c r="D23" s="64"/>
      <c r="E23" s="9">
        <v>164318658.44080523</v>
      </c>
      <c r="F23" s="14" t="s">
        <v>3</v>
      </c>
      <c r="G23" s="1"/>
    </row>
    <row r="24" spans="1:7" x14ac:dyDescent="0.25">
      <c r="A24" s="1"/>
      <c r="B24" s="62" t="s">
        <v>208</v>
      </c>
      <c r="C24" s="63"/>
      <c r="D24" s="64"/>
      <c r="E24" s="9">
        <v>139745057</v>
      </c>
      <c r="F24" s="14" t="s">
        <v>3</v>
      </c>
      <c r="G24" s="1"/>
    </row>
    <row r="25" spans="1:7" x14ac:dyDescent="0.25">
      <c r="A25" s="1"/>
      <c r="B25" s="62" t="s">
        <v>34</v>
      </c>
      <c r="C25" s="63"/>
      <c r="D25" s="64"/>
      <c r="E25" s="9">
        <v>46000</v>
      </c>
      <c r="F25" s="14" t="s">
        <v>3</v>
      </c>
      <c r="G25" s="1"/>
    </row>
    <row r="26" spans="1:7" x14ac:dyDescent="0.25">
      <c r="A26" s="1"/>
      <c r="B26" s="66" t="s">
        <v>251</v>
      </c>
      <c r="C26" s="67"/>
      <c r="D26" s="68"/>
      <c r="E26" s="45">
        <f>E23-(E24-E25)</f>
        <v>24619601.440805227</v>
      </c>
      <c r="F26" s="17" t="s">
        <v>3</v>
      </c>
      <c r="G26" s="1"/>
    </row>
    <row r="27" spans="1:7" x14ac:dyDescent="0.25">
      <c r="A27" s="1"/>
      <c r="B27" s="57"/>
      <c r="C27" s="58"/>
      <c r="D27" s="58"/>
      <c r="E27" s="58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243</v>
      </c>
      <c r="C29" s="112"/>
      <c r="D29" s="112"/>
      <c r="E29" s="112"/>
      <c r="F29" s="113"/>
      <c r="G29" s="1"/>
    </row>
    <row r="30" spans="1:7" x14ac:dyDescent="0.25">
      <c r="A30" s="1"/>
      <c r="B30" s="132" t="s">
        <v>244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1"/>
      <c r="C31" s="112"/>
      <c r="D31" s="112"/>
      <c r="E31" s="112"/>
      <c r="F31" s="113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1" t="s">
        <v>245</v>
      </c>
      <c r="C33" s="112"/>
      <c r="D33" s="112"/>
      <c r="E33" s="112"/>
      <c r="F33" s="113"/>
      <c r="G33" s="1"/>
    </row>
    <row r="34" spans="1:7" x14ac:dyDescent="0.25">
      <c r="A34" s="1"/>
      <c r="B34" s="136" t="s">
        <v>252</v>
      </c>
      <c r="C34" s="137"/>
      <c r="D34" s="138"/>
      <c r="E34" s="9">
        <v>3</v>
      </c>
      <c r="F34" s="14"/>
      <c r="G34" s="1"/>
    </row>
    <row r="35" spans="1:7" x14ac:dyDescent="0.2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2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100" t="s">
        <v>250</v>
      </c>
      <c r="C39" s="101"/>
      <c r="D39" s="101"/>
      <c r="E39" s="101"/>
      <c r="F39" s="10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MU9pPuh8M/CoHjsaOFpcwG1spA+JRrOhyHDHQdMAKa6HU7VOFxk9g4tXljfkFf10GpE9YooXVZBSsgfNLGRpg==" saltValue="/Git9rY0BYmZPVBTskrogA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1"/>
      <c r="I9" s="1"/>
    </row>
    <row r="10" spans="1:9" x14ac:dyDescent="0.25">
      <c r="A10" s="1"/>
      <c r="B10" s="46" t="s">
        <v>253</v>
      </c>
      <c r="C10" s="4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158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P+OFtJoCvC+Zz4j8RoxfR/DPCA2kbqGkwZJgCTX79etKxddiUJUslxCmsrpIlNpqjc0iDkQZSvy5kSkV//Fsw==" saltValue="5DpNZQNyZ+/Mk+EDFQmDo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7" t="s">
        <v>84</v>
      </c>
      <c r="C8" s="58"/>
      <c r="D8" s="58"/>
      <c r="E8" s="58"/>
      <c r="F8" s="20"/>
      <c r="G8" s="1"/>
    </row>
    <row r="9" spans="1:7" ht="17.25" customHeight="1" x14ac:dyDescent="0.25">
      <c r="A9" s="1"/>
      <c r="B9" s="55" t="s">
        <v>16</v>
      </c>
      <c r="C9" s="55" t="s">
        <v>11</v>
      </c>
      <c r="D9" s="56"/>
      <c r="E9" s="55" t="s">
        <v>32</v>
      </c>
      <c r="F9" s="51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246</v>
      </c>
      <c r="C11" s="22">
        <v>313000</v>
      </c>
      <c r="D11" s="14" t="s">
        <v>3</v>
      </c>
      <c r="E11" s="9">
        <v>121843</v>
      </c>
      <c r="F11" s="14" t="s">
        <v>3</v>
      </c>
      <c r="G11" s="1"/>
    </row>
    <row r="12" spans="1:7" x14ac:dyDescent="0.25">
      <c r="A12" s="1"/>
      <c r="B12" s="57" t="s">
        <v>136</v>
      </c>
      <c r="C12" s="12">
        <f>SUM(C10:C11)</f>
        <v>313000</v>
      </c>
      <c r="D12" s="13" t="s">
        <v>3</v>
      </c>
      <c r="E12" s="12">
        <f>SUM(E10:E11)</f>
        <v>121843</v>
      </c>
      <c r="F12" s="13" t="s">
        <v>3</v>
      </c>
      <c r="G12" s="1"/>
    </row>
    <row r="13" spans="1:7" x14ac:dyDescent="0.25">
      <c r="A13" s="1"/>
      <c r="B13" s="57" t="s">
        <v>209</v>
      </c>
      <c r="C13" s="12">
        <f>C12*(1+'Fane 12. Nøgletal'!C14)</f>
        <v>314032.90000000002</v>
      </c>
      <c r="D13" s="13" t="s">
        <v>3</v>
      </c>
      <c r="E13" s="12">
        <f>E12*(1+'Fane 12. Nøgletal'!C14)</f>
        <v>122245.0819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KTQRhnrtwfnLW9d/V+2y0N0RrhrW86hl/prMo3+qwBSQfF7cbjOTNNYq02v32OsMXSVUIfIuT519RUv/5Nnzw==" saltValue="ocX/eLe2fq/5uNgW3cd3C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102</v>
      </c>
      <c r="C8" s="112"/>
      <c r="D8" s="112"/>
      <c r="E8" s="112"/>
      <c r="F8" s="113"/>
      <c r="G8" s="1"/>
    </row>
    <row r="9" spans="1:7" x14ac:dyDescent="0.25">
      <c r="A9" s="1"/>
      <c r="B9" s="55" t="s">
        <v>16</v>
      </c>
      <c r="C9" s="55" t="s">
        <v>11</v>
      </c>
      <c r="D9" s="56"/>
      <c r="E9" s="55" t="s">
        <v>32</v>
      </c>
      <c r="F9" s="51"/>
      <c r="G9" s="1"/>
    </row>
    <row r="10" spans="1:7" x14ac:dyDescent="0.25">
      <c r="A10" s="1"/>
      <c r="B10" s="25" t="s">
        <v>249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7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7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25">
      <c r="A17" s="1"/>
      <c r="B17" s="55" t="s">
        <v>16</v>
      </c>
      <c r="C17" s="55" t="s">
        <v>11</v>
      </c>
      <c r="D17" s="56"/>
      <c r="E17" s="55" t="s">
        <v>32</v>
      </c>
      <c r="F17" s="51"/>
      <c r="G17" s="1"/>
    </row>
    <row r="18" spans="1:7" x14ac:dyDescent="0.25">
      <c r="A18" s="1"/>
      <c r="B18" s="25" t="s">
        <v>249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7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7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25">
      <c r="A25" s="1"/>
      <c r="B25" s="55" t="s">
        <v>16</v>
      </c>
      <c r="C25" s="55" t="s">
        <v>11</v>
      </c>
      <c r="D25" s="56"/>
      <c r="E25" s="55" t="s">
        <v>32</v>
      </c>
      <c r="F25" s="51"/>
      <c r="G25" s="1"/>
    </row>
    <row r="26" spans="1:7" x14ac:dyDescent="0.25">
      <c r="A26" s="1"/>
      <c r="B26" s="25" t="s">
        <v>249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7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7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25">
      <c r="A33" s="1"/>
      <c r="B33" s="55" t="s">
        <v>16</v>
      </c>
      <c r="C33" s="55" t="s">
        <v>11</v>
      </c>
      <c r="D33" s="56"/>
      <c r="E33" s="55" t="s">
        <v>32</v>
      </c>
      <c r="F33" s="51"/>
      <c r="G33" s="1"/>
    </row>
    <row r="34" spans="1:7" x14ac:dyDescent="0.25">
      <c r="A34" s="1"/>
      <c r="B34" s="25" t="s">
        <v>249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7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7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cgeQJb55c5kgiQI7pxN3jUOfwkJCfpkUQe8ZDUE4kePtHPztfBXVpibWNsjVMrEobxHprmJPZdqk75Z7z6vWw==" saltValue="VXO3TSRNsKDXZJdCEyXwZ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25">
      <c r="A9" s="1"/>
      <c r="B9" s="50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Ab+Mm7gWvElVKTT8QvxsiEz1RRiqim80bje0V8vk9kxaB+Cwa05nXwP1mS48wnmpDAi55EI+TJ9wDnkyUweABg==" saltValue="CZguWgy/guyM5iaNY88rf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25">
      <c r="A9" s="1"/>
      <c r="B9" s="50" t="s">
        <v>17</v>
      </c>
      <c r="C9" s="50" t="s">
        <v>11</v>
      </c>
      <c r="D9" s="51"/>
      <c r="E9" s="50" t="s">
        <v>32</v>
      </c>
      <c r="F9" s="51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7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7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99</v>
      </c>
      <c r="C15" s="112"/>
      <c r="D15" s="112"/>
      <c r="E15" s="112"/>
      <c r="F15" s="113"/>
      <c r="G15" s="1"/>
    </row>
    <row r="16" spans="1:7" ht="26.25" x14ac:dyDescent="0.25">
      <c r="A16" s="1"/>
      <c r="B16" s="50" t="s">
        <v>17</v>
      </c>
      <c r="C16" s="50" t="s">
        <v>11</v>
      </c>
      <c r="D16" s="51"/>
      <c r="E16" s="50" t="s">
        <v>32</v>
      </c>
      <c r="F16" s="51"/>
      <c r="G16" s="1"/>
    </row>
    <row r="17" spans="1:7" x14ac:dyDescent="0.2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7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7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1" t="s">
        <v>142</v>
      </c>
      <c r="C22" s="112"/>
      <c r="D22" s="112"/>
      <c r="E22" s="112"/>
      <c r="F22" s="113"/>
      <c r="G22" s="1"/>
    </row>
    <row r="23" spans="1:7" ht="26.25" x14ac:dyDescent="0.25">
      <c r="A23" s="1"/>
      <c r="B23" s="50" t="s">
        <v>17</v>
      </c>
      <c r="C23" s="50" t="s">
        <v>11</v>
      </c>
      <c r="D23" s="51"/>
      <c r="E23" s="50" t="s">
        <v>32</v>
      </c>
      <c r="F23" s="51"/>
      <c r="G23" s="1"/>
    </row>
    <row r="24" spans="1:7" x14ac:dyDescent="0.2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7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7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214</v>
      </c>
      <c r="C29" s="112"/>
      <c r="D29" s="112"/>
      <c r="E29" s="112"/>
      <c r="F29" s="113"/>
      <c r="G29" s="1"/>
    </row>
    <row r="30" spans="1:7" ht="26.25" x14ac:dyDescent="0.25">
      <c r="A30" s="1"/>
      <c r="B30" s="50" t="s">
        <v>17</v>
      </c>
      <c r="C30" s="50" t="s">
        <v>11</v>
      </c>
      <c r="D30" s="51"/>
      <c r="E30" s="50" t="s">
        <v>32</v>
      </c>
      <c r="F30" s="51"/>
      <c r="G30" s="1"/>
    </row>
    <row r="31" spans="1:7" x14ac:dyDescent="0.2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7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7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8o9bb+X0B7HN4EhA6vkhrFZTWpiIMQa/hMGYnpCE8eA1tN86J944kHpsjXBwvvR8XtkUOeYsMVXTZSrvydRmIA==" saltValue="dSbog3DSM3IN9ttvR4h79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164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7" t="s">
        <v>14</v>
      </c>
      <c r="C8" s="20"/>
      <c r="D8" s="1"/>
    </row>
    <row r="9" spans="1:4" x14ac:dyDescent="0.25">
      <c r="A9" s="1"/>
      <c r="B9" s="65" t="s">
        <v>118</v>
      </c>
      <c r="C9" s="26">
        <v>1.2699999999999999E-2</v>
      </c>
      <c r="D9" s="1"/>
    </row>
    <row r="10" spans="1:4" x14ac:dyDescent="0.25">
      <c r="A10" s="1"/>
      <c r="B10" s="65" t="s">
        <v>22</v>
      </c>
      <c r="C10" s="26">
        <v>1.7500000000000002E-2</v>
      </c>
      <c r="D10" s="1"/>
    </row>
    <row r="11" spans="1:4" x14ac:dyDescent="0.25">
      <c r="A11" s="1"/>
      <c r="B11" s="65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48">
        <v>3.3E-3</v>
      </c>
      <c r="D14" s="1"/>
    </row>
    <row r="15" spans="1:4" x14ac:dyDescent="0.25">
      <c r="A15" s="1"/>
      <c r="B15" s="111"/>
      <c r="C15" s="113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7" t="s">
        <v>106</v>
      </c>
      <c r="C18" s="20"/>
      <c r="D18" s="1"/>
    </row>
    <row r="19" spans="1:4" x14ac:dyDescent="0.25">
      <c r="A19" s="1"/>
      <c r="B19" s="65" t="s">
        <v>120</v>
      </c>
      <c r="C19" s="23">
        <v>9.1000000000000004E-3</v>
      </c>
      <c r="D19" s="1"/>
    </row>
    <row r="20" spans="1:4" x14ac:dyDescent="0.25">
      <c r="A20" s="1"/>
      <c r="B20" s="65" t="s">
        <v>121</v>
      </c>
      <c r="C20" s="23">
        <v>1.77E-2</v>
      </c>
      <c r="D20" s="1"/>
    </row>
    <row r="21" spans="1:4" x14ac:dyDescent="0.25">
      <c r="A21" s="1"/>
      <c r="B21" s="65" t="s">
        <v>122</v>
      </c>
      <c r="C21" s="23">
        <v>8.6999999999999994E-3</v>
      </c>
      <c r="D21" s="1"/>
    </row>
    <row r="22" spans="1:4" x14ac:dyDescent="0.25">
      <c r="A22" s="1"/>
      <c r="B22" s="65" t="s">
        <v>123</v>
      </c>
      <c r="C22" s="35">
        <v>2.8400000000000002E-2</v>
      </c>
      <c r="D22" s="1"/>
    </row>
    <row r="23" spans="1:4" x14ac:dyDescent="0.25">
      <c r="A23" s="1"/>
      <c r="B23" s="65" t="s">
        <v>146</v>
      </c>
      <c r="C23" s="35">
        <v>2.75E-2</v>
      </c>
      <c r="D23" s="1"/>
    </row>
    <row r="24" spans="1:4" x14ac:dyDescent="0.25">
      <c r="A24" s="1"/>
      <c r="B24" s="65" t="s">
        <v>217</v>
      </c>
      <c r="C24" s="35">
        <v>1.4800000000000001E-2</v>
      </c>
      <c r="D24" s="1"/>
    </row>
    <row r="25" spans="1:4" x14ac:dyDescent="0.25">
      <c r="A25" s="1"/>
      <c r="B25" s="57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7" t="s">
        <v>107</v>
      </c>
      <c r="C28" s="20"/>
      <c r="D28" s="1"/>
    </row>
    <row r="29" spans="1:4" x14ac:dyDescent="0.25">
      <c r="A29" s="1"/>
      <c r="B29" s="65" t="s">
        <v>124</v>
      </c>
      <c r="C29" s="26">
        <v>0.02</v>
      </c>
      <c r="D29" s="1"/>
    </row>
    <row r="30" spans="1:4" x14ac:dyDescent="0.25">
      <c r="A30" s="1"/>
      <c r="B30" s="57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ZS2BCJw7+mjdm6skfknKjWtOV8hmdU+yGBlA4HObkEUD7o1aaQrqEnsUpvIGZ/JlY1jHp8ef+OAMB1tNSdyrkw==" saltValue="lrR/J52t9KMeV7VEAtsA5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7" t="s">
        <v>13</v>
      </c>
      <c r="C8" s="58"/>
      <c r="D8" s="20"/>
      <c r="E8" s="1"/>
    </row>
    <row r="9" spans="1:5" x14ac:dyDescent="0.25">
      <c r="A9" s="1"/>
      <c r="B9" s="53" t="s">
        <v>24</v>
      </c>
      <c r="C9" s="7">
        <f>'Fane 3. Omkostninger i ØR2021'!E20</f>
        <v>100004348.37485185</v>
      </c>
      <c r="D9" s="8" t="s">
        <v>3</v>
      </c>
      <c r="E9" s="1"/>
    </row>
    <row r="10" spans="1:5" x14ac:dyDescent="0.25">
      <c r="A10" s="1"/>
      <c r="B10" s="49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242942.21505542082</v>
      </c>
      <c r="D10" s="8" t="s">
        <v>3</v>
      </c>
      <c r="E10" s="1"/>
    </row>
    <row r="11" spans="1:5" x14ac:dyDescent="0.25">
      <c r="A11" s="1"/>
      <c r="B11" s="49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1427411.3382125194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314032.90000000002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122245.0819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1221492.7675134628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-1236059.7040733506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-770035.72472129297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-1925781.2693296296</v>
      </c>
      <c r="D21" s="8" t="s">
        <v>3</v>
      </c>
      <c r="E21" s="1"/>
    </row>
    <row r="22" spans="1:5" ht="17.100000000000001" customHeight="1" x14ac:dyDescent="0.25">
      <c r="A22" s="1"/>
      <c r="B22" s="66" t="s">
        <v>20</v>
      </c>
      <c r="C22" s="10">
        <f>SUM(C9,C12:C21)</f>
        <v>97730242.426141053</v>
      </c>
      <c r="D22" s="11" t="s">
        <v>3</v>
      </c>
      <c r="E22" s="1"/>
    </row>
    <row r="23" spans="1:5" ht="15" customHeight="1" x14ac:dyDescent="0.25">
      <c r="A23" s="1"/>
      <c r="B23" s="57" t="s">
        <v>12</v>
      </c>
      <c r="C23" s="58"/>
      <c r="D23" s="20"/>
      <c r="E23" s="1"/>
    </row>
    <row r="24" spans="1:5" ht="15" customHeight="1" x14ac:dyDescent="0.25">
      <c r="A24" s="1"/>
      <c r="B24" s="50" t="s">
        <v>12</v>
      </c>
      <c r="C24" s="10">
        <f>'Fane 6. Ikke-påvirkelige omk.'!C17</f>
        <v>55558956.737022363</v>
      </c>
      <c r="D24" s="11" t="s">
        <v>3</v>
      </c>
      <c r="E24" s="1"/>
    </row>
    <row r="25" spans="1:5" ht="15" customHeight="1" x14ac:dyDescent="0.25">
      <c r="A25" s="1"/>
      <c r="B25" s="57" t="s">
        <v>89</v>
      </c>
      <c r="C25" s="58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6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8"/>
      <c r="D29" s="20"/>
      <c r="E29" s="1"/>
    </row>
    <row r="30" spans="1:5" x14ac:dyDescent="0.25">
      <c r="A30" s="1"/>
      <c r="B30" s="69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8"/>
      <c r="D31" s="20"/>
      <c r="E31" s="1"/>
    </row>
    <row r="32" spans="1:5" x14ac:dyDescent="0.25">
      <c r="A32" s="1"/>
      <c r="B32" s="69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7" t="s">
        <v>30</v>
      </c>
      <c r="C33" s="31">
        <f>SUM(C22,C24,C28,C30,C32)</f>
        <v>153289199.16316342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AVjPHZCoTz57jmdrHQYfsfp3HoLP6RSYoXYLCTqJT8WhCA1XfZRtse8qrup2FJNTTuCpqqQKGocn4c/oQc2Odw==" saltValue="NDKV7wrQ3iA5LT4VAzZ9j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7" t="s">
        <v>13</v>
      </c>
      <c r="C8" s="58"/>
      <c r="D8" s="20"/>
      <c r="E8" s="1"/>
    </row>
    <row r="9" spans="1:5" ht="15" customHeight="1" x14ac:dyDescent="0.25">
      <c r="A9" s="1"/>
      <c r="B9" s="53" t="s">
        <v>134</v>
      </c>
      <c r="C9" s="7">
        <f>'Fane 2.1. Økonomisk ramme 2022'!C22</f>
        <v>97730242.426141053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9" t="s">
        <v>18</v>
      </c>
      <c r="C12" s="9">
        <f>SUM(C9:C11)*'Fane 12. Nøgletal'!C14</f>
        <v>322509.80000626546</v>
      </c>
      <c r="D12" s="8" t="s">
        <v>3</v>
      </c>
      <c r="E12" s="1"/>
    </row>
    <row r="13" spans="1:5" ht="15" customHeight="1" x14ac:dyDescent="0.25">
      <c r="A13" s="1"/>
      <c r="B13" s="49" t="s">
        <v>9</v>
      </c>
      <c r="C13" s="9">
        <f>-SUM(C9:C12)*'Fane 5. Individuelt eff. krav'!G10</f>
        <v>-1192175.1872207501</v>
      </c>
      <c r="D13" s="8" t="s">
        <v>3</v>
      </c>
      <c r="E13" s="1"/>
    </row>
    <row r="14" spans="1:5" ht="15" customHeight="1" x14ac:dyDescent="0.25">
      <c r="A14" s="1"/>
      <c r="B14" s="49" t="s">
        <v>25</v>
      </c>
      <c r="C14" s="9">
        <f>-'Fane 4.1. Gen. krav - drift'!G44</f>
        <v>-757125.30576061597</v>
      </c>
      <c r="D14" s="8" t="s">
        <v>3</v>
      </c>
      <c r="E14" s="1"/>
    </row>
    <row r="15" spans="1:5" ht="15" customHeight="1" x14ac:dyDescent="0.25">
      <c r="A15" s="1"/>
      <c r="B15" s="49" t="s">
        <v>26</v>
      </c>
      <c r="C15" s="9">
        <f>-'Fane 4.2. Gen. krav - anlæg'!G44</f>
        <v>-1012086.0921844721</v>
      </c>
      <c r="D15" s="8" t="s">
        <v>3</v>
      </c>
      <c r="E15" s="1"/>
    </row>
    <row r="16" spans="1:5" ht="15" customHeight="1" x14ac:dyDescent="0.25">
      <c r="A16" s="1"/>
      <c r="B16" s="54" t="s">
        <v>20</v>
      </c>
      <c r="C16" s="10">
        <f>SUM(C9:C15)</f>
        <v>95091365.64098148</v>
      </c>
      <c r="D16" s="11" t="s">
        <v>3</v>
      </c>
      <c r="E16" s="1"/>
    </row>
    <row r="17" spans="1:5" x14ac:dyDescent="0.25">
      <c r="A17" s="1"/>
      <c r="B17" s="57" t="s">
        <v>12</v>
      </c>
      <c r="C17" s="58"/>
      <c r="D17" s="20"/>
      <c r="E17" s="1"/>
    </row>
    <row r="18" spans="1:5" ht="15" customHeight="1" x14ac:dyDescent="0.25">
      <c r="A18" s="1"/>
      <c r="B18" s="50" t="s">
        <v>12</v>
      </c>
      <c r="C18" s="10">
        <f>'Fane 6. Ikke-påvirkelige omk.'!C17*(1+'Fane 12. Nøgletal'!C14)</f>
        <v>55742301.294254541</v>
      </c>
      <c r="D18" s="11" t="s">
        <v>3</v>
      </c>
      <c r="E18" s="1"/>
    </row>
    <row r="19" spans="1:5" ht="15" customHeight="1" x14ac:dyDescent="0.25">
      <c r="A19" s="1"/>
      <c r="B19" s="57" t="s">
        <v>89</v>
      </c>
      <c r="C19" s="58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6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8"/>
      <c r="D23" s="20"/>
      <c r="E23" s="1"/>
    </row>
    <row r="24" spans="1:5" ht="15" customHeight="1" x14ac:dyDescent="0.25">
      <c r="A24" s="1"/>
      <c r="B24" s="69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8"/>
      <c r="D25" s="20"/>
      <c r="E25" s="1"/>
    </row>
    <row r="26" spans="1:5" x14ac:dyDescent="0.25">
      <c r="A26" s="1"/>
      <c r="B26" s="69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7" t="s">
        <v>97</v>
      </c>
      <c r="C27" s="12">
        <f>SUM(C16,C18,C22,C24,C26)</f>
        <v>150833666.93523604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rD4zwAwOoN+0hHSfabwHgAQRSXB9dBS96bA9X2HNO77sluQEzL4hCeMK1GIYfp9UW7E2/im2qNrecEVs49JEWw==" saltValue="nKEZ9KAto71UEcICfoa9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1.42578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7" t="s">
        <v>13</v>
      </c>
      <c r="C7" s="58"/>
      <c r="D7" s="20"/>
      <c r="E7" s="1"/>
    </row>
    <row r="8" spans="1:5" ht="15" customHeight="1" x14ac:dyDescent="0.25">
      <c r="A8" s="1"/>
      <c r="B8" s="53" t="s">
        <v>135</v>
      </c>
      <c r="C8" s="7">
        <f>'Fane 2.2. Økonomisk ramme 2023'!C16</f>
        <v>95091365.64098148</v>
      </c>
      <c r="D8" s="8" t="s">
        <v>3</v>
      </c>
      <c r="E8" s="1"/>
    </row>
    <row r="9" spans="1:5" ht="15" customHeight="1" x14ac:dyDescent="0.25">
      <c r="A9" s="1"/>
      <c r="B9" s="53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3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9" t="s">
        <v>18</v>
      </c>
      <c r="C11" s="9">
        <f>SUM(C8:C10)*'Fane 12. Nøgletal'!C14</f>
        <v>313801.5066152389</v>
      </c>
      <c r="D11" s="8" t="s">
        <v>3</v>
      </c>
      <c r="E11" s="1"/>
    </row>
    <row r="12" spans="1:5" ht="15" customHeight="1" x14ac:dyDescent="0.25">
      <c r="A12" s="1"/>
      <c r="B12" s="49" t="s">
        <v>9</v>
      </c>
      <c r="C12" s="9">
        <f>-SUM(C8:C11)*'Fane 5. Individuelt eff. krav'!G10</f>
        <v>-1159984.5024613454</v>
      </c>
      <c r="D12" s="8" t="s">
        <v>3</v>
      </c>
      <c r="E12" s="1"/>
    </row>
    <row r="13" spans="1:5" ht="15" customHeight="1" x14ac:dyDescent="0.25">
      <c r="A13" s="1"/>
      <c r="B13" s="49" t="s">
        <v>25</v>
      </c>
      <c r="C13" s="9">
        <f>-'Fane 4.1. Gen. krav - drift'!G50</f>
        <v>-744431.34288423345</v>
      </c>
      <c r="D13" s="8" t="s">
        <v>3</v>
      </c>
      <c r="E13" s="1"/>
    </row>
    <row r="14" spans="1:5" ht="15" customHeight="1" x14ac:dyDescent="0.25">
      <c r="A14" s="1"/>
      <c r="B14" s="49" t="s">
        <v>26</v>
      </c>
      <c r="C14" s="43">
        <f>-'Fane 4.2. Gen. krav - anlæg'!G50</f>
        <v>-1000397.6718396085</v>
      </c>
      <c r="D14" s="8" t="s">
        <v>3</v>
      </c>
      <c r="E14" s="1"/>
    </row>
    <row r="15" spans="1:5" x14ac:dyDescent="0.25">
      <c r="A15" s="1"/>
      <c r="B15" s="54" t="s">
        <v>20</v>
      </c>
      <c r="C15" s="10">
        <f>SUM(C8:C14)</f>
        <v>92500353.630411536</v>
      </c>
      <c r="D15" s="11" t="s">
        <v>3</v>
      </c>
      <c r="E15" s="1"/>
    </row>
    <row r="16" spans="1:5" x14ac:dyDescent="0.25">
      <c r="A16" s="1"/>
      <c r="B16" s="57" t="s">
        <v>12</v>
      </c>
      <c r="C16" s="58"/>
      <c r="D16" s="20"/>
      <c r="E16" s="1"/>
    </row>
    <row r="17" spans="1:5" ht="15" customHeight="1" x14ac:dyDescent="0.25">
      <c r="A17" s="1"/>
      <c r="B17" s="50" t="s">
        <v>12</v>
      </c>
      <c r="C17" s="10">
        <f>'Fane 6. Ikke-påvirkelige omk.'!C17*(1+'Fane 12. Nøgletal'!C14)^2</f>
        <v>55926250.888525583</v>
      </c>
      <c r="D17" s="11" t="s">
        <v>3</v>
      </c>
      <c r="E17" s="1"/>
    </row>
    <row r="18" spans="1:5" ht="15" customHeight="1" x14ac:dyDescent="0.25">
      <c r="A18" s="1"/>
      <c r="B18" s="57" t="s">
        <v>89</v>
      </c>
      <c r="C18" s="58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7" t="s">
        <v>161</v>
      </c>
      <c r="C22" s="58"/>
      <c r="D22" s="20"/>
      <c r="E22" s="1"/>
    </row>
    <row r="23" spans="1:5" x14ac:dyDescent="0.2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8"/>
      <c r="D24" s="20"/>
      <c r="E24" s="1"/>
    </row>
    <row r="25" spans="1:5" ht="15" customHeight="1" x14ac:dyDescent="0.2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7" t="s">
        <v>186</v>
      </c>
      <c r="C26" s="12">
        <f>SUM(C15,C17,C21,C23,C25)</f>
        <v>148426604.51893711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Xs80TZ8SgCXCBp3JeRkj1MWv40cBA+LhygO6pgjtclqXWpUd9Ly8j0bWO6aJ9FHc+9a5tQfU1VW4O9acqBopQ==" saltValue="ycH3FD5BFdTuh4QkDA24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59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7" t="s">
        <v>13</v>
      </c>
      <c r="C7" s="58"/>
      <c r="D7" s="20"/>
      <c r="E7" s="1"/>
    </row>
    <row r="8" spans="1:5" ht="15" customHeight="1" x14ac:dyDescent="0.25">
      <c r="A8" s="1"/>
      <c r="B8" s="53" t="s">
        <v>188</v>
      </c>
      <c r="C8" s="7">
        <f>'Fane 2.3. Økonomisk ramme 2024'!C15</f>
        <v>92500353.630411536</v>
      </c>
      <c r="D8" s="8" t="s">
        <v>3</v>
      </c>
      <c r="E8" s="1"/>
    </row>
    <row r="9" spans="1:5" ht="15" customHeight="1" x14ac:dyDescent="0.25">
      <c r="A9" s="1"/>
      <c r="B9" s="53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3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9" t="s">
        <v>18</v>
      </c>
      <c r="C11" s="9">
        <f>SUM(C8:C10)*'Fane 12. Nøgletal'!C14</f>
        <v>305251.16698035807</v>
      </c>
      <c r="D11" s="8" t="s">
        <v>3</v>
      </c>
      <c r="E11" s="1"/>
    </row>
    <row r="12" spans="1:5" ht="15" customHeight="1" x14ac:dyDescent="0.25">
      <c r="A12" s="1"/>
      <c r="B12" s="49" t="s">
        <v>9</v>
      </c>
      <c r="C12" s="9">
        <f>-SUM(C8:C11)*'Fane 5. Individuelt eff. krav'!G10</f>
        <v>-1128377.7024359913</v>
      </c>
      <c r="D12" s="8" t="s">
        <v>3</v>
      </c>
      <c r="E12" s="1"/>
    </row>
    <row r="13" spans="1:5" ht="15" customHeight="1" x14ac:dyDescent="0.25">
      <c r="A13" s="1"/>
      <c r="B13" s="49" t="s">
        <v>25</v>
      </c>
      <c r="C13" s="9">
        <f>-'Fane 4.1. Gen. krav - drift'!G56</f>
        <v>-731950.20698943641</v>
      </c>
      <c r="D13" s="8" t="s">
        <v>3</v>
      </c>
      <c r="E13" s="1"/>
    </row>
    <row r="14" spans="1:5" ht="15" customHeight="1" x14ac:dyDescent="0.25">
      <c r="A14" s="1"/>
      <c r="B14" s="49" t="s">
        <v>26</v>
      </c>
      <c r="C14" s="9">
        <f>-'Fane 4.2. Gen. krav - anlæg'!G56</f>
        <v>-988844.23919116042</v>
      </c>
      <c r="D14" s="8" t="s">
        <v>3</v>
      </c>
      <c r="E14" s="1"/>
    </row>
    <row r="15" spans="1:5" x14ac:dyDescent="0.25">
      <c r="A15" s="1"/>
      <c r="B15" s="54" t="s">
        <v>20</v>
      </c>
      <c r="C15" s="10">
        <f>SUM(C8:C14)</f>
        <v>89956432.648775309</v>
      </c>
      <c r="D15" s="11" t="s">
        <v>3</v>
      </c>
      <c r="E15" s="1"/>
    </row>
    <row r="16" spans="1:5" x14ac:dyDescent="0.25">
      <c r="A16" s="1"/>
      <c r="B16" s="57" t="s">
        <v>12</v>
      </c>
      <c r="C16" s="58"/>
      <c r="D16" s="20"/>
      <c r="E16" s="1"/>
    </row>
    <row r="17" spans="1:5" ht="15" customHeight="1" x14ac:dyDescent="0.25">
      <c r="A17" s="1"/>
      <c r="B17" s="50" t="s">
        <v>12</v>
      </c>
      <c r="C17" s="10">
        <f>'Fane 6. Ikke-påvirkelige omk.'!C17*(1+'Fane 12. Nøgletal'!C14)^3</f>
        <v>56110807.516457722</v>
      </c>
      <c r="D17" s="11" t="s">
        <v>3</v>
      </c>
      <c r="E17" s="1"/>
    </row>
    <row r="18" spans="1:5" ht="15" customHeight="1" x14ac:dyDescent="0.25">
      <c r="A18" s="1"/>
      <c r="B18" s="57" t="s">
        <v>89</v>
      </c>
      <c r="C18" s="58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7" t="s">
        <v>161</v>
      </c>
      <c r="C22" s="58"/>
      <c r="D22" s="20"/>
      <c r="E22" s="1"/>
    </row>
    <row r="23" spans="1:5" x14ac:dyDescent="0.2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8"/>
      <c r="D24" s="20"/>
      <c r="E24" s="1"/>
    </row>
    <row r="25" spans="1:5" x14ac:dyDescent="0.2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7" t="s">
        <v>189</v>
      </c>
      <c r="C26" s="12">
        <f>SUM(C15,C17,C21,C23,C25)</f>
        <v>146067240.16523302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8sm0pSYWssC+IE/bIpXQZOmiqE9Ml6jjYFEFRoArXbBxy7XiuJ47b9Is4fjzTLWcN+XJD6+cnCRwaP5ynN2V6w==" saltValue="Wwoe/Xli9B24qfozXwA0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7" t="s">
        <v>223</v>
      </c>
      <c r="C8" s="58"/>
      <c r="D8" s="58"/>
      <c r="E8" s="58"/>
      <c r="F8" s="20"/>
      <c r="G8" s="1"/>
    </row>
    <row r="9" spans="1:7" x14ac:dyDescent="0.25">
      <c r="A9" s="1"/>
      <c r="B9" s="97" t="s">
        <v>23</v>
      </c>
      <c r="C9" s="98"/>
      <c r="D9" s="99"/>
      <c r="E9" s="7">
        <v>101023346.91889624</v>
      </c>
      <c r="F9" s="8" t="s">
        <v>3</v>
      </c>
      <c r="G9" s="1"/>
    </row>
    <row r="10" spans="1:7" ht="15" customHeight="1" x14ac:dyDescent="0.25">
      <c r="A10" s="1"/>
      <c r="B10" s="90" t="s">
        <v>40</v>
      </c>
      <c r="C10" s="91"/>
      <c r="D10" s="92"/>
      <c r="E10" s="9">
        <v>247989</v>
      </c>
      <c r="F10" s="8" t="s">
        <v>3</v>
      </c>
      <c r="G10" s="1"/>
    </row>
    <row r="11" spans="1:7" ht="15" customHeight="1" x14ac:dyDescent="0.25">
      <c r="A11" s="1"/>
      <c r="B11" s="90" t="s">
        <v>41</v>
      </c>
      <c r="C11" s="91"/>
      <c r="D11" s="92"/>
      <c r="E11" s="9">
        <v>1468443.0767999999</v>
      </c>
      <c r="F11" s="8" t="s">
        <v>3</v>
      </c>
      <c r="G11" s="1"/>
    </row>
    <row r="12" spans="1:7" x14ac:dyDescent="0.2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18</v>
      </c>
      <c r="C16" s="91"/>
      <c r="D16" s="92"/>
      <c r="E16" s="9">
        <v>1253425.3037474942</v>
      </c>
      <c r="F16" s="8" t="s">
        <v>3</v>
      </c>
      <c r="G16" s="1"/>
    </row>
    <row r="17" spans="1:7" x14ac:dyDescent="0.25">
      <c r="A17" s="1"/>
      <c r="B17" s="90" t="s">
        <v>9</v>
      </c>
      <c r="C17" s="91"/>
      <c r="D17" s="92"/>
      <c r="E17" s="9">
        <v>-1264402.2221776487</v>
      </c>
      <c r="F17" s="8" t="s">
        <v>3</v>
      </c>
      <c r="G17" s="1"/>
    </row>
    <row r="18" spans="1:7" x14ac:dyDescent="0.25">
      <c r="A18" s="1"/>
      <c r="B18" s="90" t="s">
        <v>25</v>
      </c>
      <c r="C18" s="91"/>
      <c r="D18" s="92"/>
      <c r="E18" s="9">
        <v>-769927.63847377594</v>
      </c>
      <c r="F18" s="8" t="s">
        <v>3</v>
      </c>
      <c r="G18" s="1"/>
    </row>
    <row r="19" spans="1:7" x14ac:dyDescent="0.25">
      <c r="A19" s="1"/>
      <c r="B19" s="90" t="s">
        <v>26</v>
      </c>
      <c r="C19" s="91"/>
      <c r="D19" s="92"/>
      <c r="E19" s="9">
        <v>-1954526.0639404505</v>
      </c>
      <c r="F19" s="8" t="s">
        <v>3</v>
      </c>
      <c r="G19" s="1"/>
    </row>
    <row r="20" spans="1:7" x14ac:dyDescent="0.25">
      <c r="A20" s="1"/>
      <c r="B20" s="103" t="s">
        <v>20</v>
      </c>
      <c r="C20" s="104"/>
      <c r="D20" s="105"/>
      <c r="E20" s="10">
        <f>SUM(E9:E19)</f>
        <v>100004348.37485185</v>
      </c>
      <c r="F20" s="11" t="s">
        <v>3</v>
      </c>
      <c r="G20" s="1"/>
    </row>
    <row r="21" spans="1:7" x14ac:dyDescent="0.25">
      <c r="A21" s="1"/>
      <c r="B21" s="57" t="s">
        <v>12</v>
      </c>
      <c r="C21" s="58"/>
      <c r="D21" s="58"/>
      <c r="E21" s="58"/>
      <c r="F21" s="20"/>
      <c r="G21" s="1"/>
    </row>
    <row r="22" spans="1:7" x14ac:dyDescent="0.25">
      <c r="A22" s="1"/>
      <c r="B22" s="93" t="s">
        <v>12</v>
      </c>
      <c r="C22" s="94"/>
      <c r="D22" s="95"/>
      <c r="E22" s="10">
        <v>60997952.695956163</v>
      </c>
      <c r="F22" s="11" t="s">
        <v>3</v>
      </c>
      <c r="G22" s="1"/>
    </row>
    <row r="23" spans="1:7" ht="15" customHeight="1" x14ac:dyDescent="0.25">
      <c r="A23" s="1"/>
      <c r="B23" s="109" t="s">
        <v>89</v>
      </c>
      <c r="C23" s="110"/>
      <c r="D23" s="110"/>
      <c r="E23" s="58"/>
      <c r="F23" s="58"/>
      <c r="G23" s="1"/>
    </row>
    <row r="24" spans="1:7" ht="14.25" customHeight="1" x14ac:dyDescent="0.2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2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2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25">
      <c r="A27" s="1"/>
      <c r="B27" s="57" t="s">
        <v>161</v>
      </c>
      <c r="C27" s="58"/>
      <c r="D27" s="58"/>
      <c r="E27" s="58"/>
      <c r="F27" s="20"/>
      <c r="G27" s="1"/>
    </row>
    <row r="28" spans="1:7" ht="15" customHeight="1" x14ac:dyDescent="0.25">
      <c r="A28" s="1"/>
      <c r="B28" s="106" t="s">
        <v>162</v>
      </c>
      <c r="C28" s="107"/>
      <c r="D28" s="108"/>
      <c r="E28" s="10">
        <v>0</v>
      </c>
      <c r="F28" s="11" t="s">
        <v>3</v>
      </c>
      <c r="G28" s="1"/>
    </row>
    <row r="29" spans="1:7" x14ac:dyDescent="0.25">
      <c r="A29" s="1"/>
      <c r="B29" s="57" t="s">
        <v>247</v>
      </c>
      <c r="C29" s="58"/>
      <c r="D29" s="58"/>
      <c r="E29" s="58"/>
      <c r="F29" s="20"/>
      <c r="G29" s="1"/>
    </row>
    <row r="30" spans="1:7" ht="15.6" customHeight="1" x14ac:dyDescent="0.25">
      <c r="A30" s="1"/>
      <c r="B30" s="93" t="s">
        <v>248</v>
      </c>
      <c r="C30" s="94"/>
      <c r="D30" s="95"/>
      <c r="E30" s="10">
        <v>3069.7170000000001</v>
      </c>
      <c r="F30" s="11" t="s">
        <v>3</v>
      </c>
      <c r="G30" s="1"/>
    </row>
    <row r="31" spans="1:7" x14ac:dyDescent="0.25">
      <c r="A31" s="1"/>
      <c r="B31" s="57" t="s">
        <v>29</v>
      </c>
      <c r="C31" s="58"/>
      <c r="D31" s="58"/>
      <c r="E31" s="12">
        <f>E20+E22+E26+E28+E30</f>
        <v>161005370.78780803</v>
      </c>
      <c r="F31" s="13" t="s">
        <v>3</v>
      </c>
      <c r="G31" s="1"/>
    </row>
    <row r="32" spans="1:7" ht="27.75" customHeight="1" x14ac:dyDescent="0.25">
      <c r="A32" s="1"/>
      <c r="B32" s="100" t="s">
        <v>191</v>
      </c>
      <c r="C32" s="101"/>
      <c r="D32" s="101"/>
      <c r="E32" s="101"/>
      <c r="F32" s="10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rIFrdwfv9neVirNsarWBWKmVaaVzZ6oTEVROJPT8TcQdDrls0LdoDjT+CFgiq51kkOrUwr9YmrVh+BRmDlP4w==" saltValue="p/B+m1sbtuKZ8VtDiyTlD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2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2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2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35267608.025951229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705352.16051902459</v>
      </c>
      <c r="H6" s="14" t="s">
        <v>3</v>
      </c>
      <c r="I6" s="1"/>
    </row>
    <row r="7" spans="1:9" x14ac:dyDescent="0.25">
      <c r="A7" s="1"/>
      <c r="B7" s="57"/>
      <c r="C7" s="58"/>
      <c r="D7" s="58"/>
      <c r="E7" s="58"/>
      <c r="F7" s="58"/>
      <c r="G7" s="58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35001196.514923193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24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700023.93029846391</v>
      </c>
      <c r="H12" s="14" t="s">
        <v>3</v>
      </c>
      <c r="I12" s="1"/>
    </row>
    <row r="13" spans="1:9" x14ac:dyDescent="0.25">
      <c r="A13" s="1"/>
      <c r="B13" s="57"/>
      <c r="C13" s="58"/>
      <c r="D13" s="58"/>
      <c r="E13" s="58"/>
      <c r="F13" s="58"/>
      <c r="G13" s="58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34880862.401304886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24">
        <v>95033.235520615752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24">
        <v>3410104.116096999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767719.99505844992</v>
      </c>
      <c r="H19" s="14" t="s">
        <v>3</v>
      </c>
      <c r="I19" s="1"/>
    </row>
    <row r="20" spans="1:9" x14ac:dyDescent="0.25">
      <c r="A20" s="1"/>
      <c r="B20" s="57"/>
      <c r="C20" s="58"/>
      <c r="D20" s="58"/>
      <c r="E20" s="58"/>
      <c r="F20" s="58"/>
      <c r="G20" s="58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38254028.68577195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24">
        <v>301479.27817887004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771110.15927901643</v>
      </c>
      <c r="H25" s="14" t="s">
        <v>3</v>
      </c>
      <c r="I25" s="1"/>
    </row>
    <row r="26" spans="1:9" x14ac:dyDescent="0.25">
      <c r="A26" s="1"/>
      <c r="B26" s="57"/>
      <c r="C26" s="58"/>
      <c r="D26" s="58"/>
      <c r="E26" s="58"/>
      <c r="F26" s="58"/>
      <c r="G26" s="58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38245367.457888797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251014.46580000001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769927.63847377605</v>
      </c>
      <c r="H31" s="14" t="s">
        <v>3</v>
      </c>
      <c r="I31" s="1"/>
    </row>
    <row r="32" spans="1:9" x14ac:dyDescent="0.25">
      <c r="A32" s="1"/>
      <c r="B32" s="57"/>
      <c r="C32" s="58"/>
      <c r="D32" s="58"/>
      <c r="E32" s="58"/>
      <c r="F32" s="58"/>
      <c r="G32" s="58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38186717.027494647</v>
      </c>
      <c r="H35" s="14" t="s">
        <v>3</v>
      </c>
      <c r="I35" s="1"/>
    </row>
    <row r="36" spans="1:9" x14ac:dyDescent="0.25">
      <c r="A36" s="1"/>
      <c r="B36" s="37" t="s">
        <v>192</v>
      </c>
      <c r="C36" s="63"/>
      <c r="D36" s="63"/>
      <c r="E36" s="63"/>
      <c r="F36" s="64"/>
      <c r="G36" s="24">
        <f>SUM('Fane 2.1. Økonomisk ramme 2022'!C10)*(1+'Fane 12. Nøgletal'!C14)</f>
        <v>243743.92436510374</v>
      </c>
      <c r="H36" s="14" t="s">
        <v>3</v>
      </c>
      <c r="I36" s="1"/>
    </row>
    <row r="37" spans="1:9" x14ac:dyDescent="0.25">
      <c r="A37" s="1"/>
      <c r="B37" s="114" t="s">
        <v>221</v>
      </c>
      <c r="C37" s="115"/>
      <c r="D37" s="115"/>
      <c r="E37" s="115"/>
      <c r="F37" s="116"/>
      <c r="G37" s="24">
        <f>SUM('Fane 2.1. Økonomisk ramme 2022'!C12,'Fane 2.1. Økonomisk ramme 2022'!C14,'Fane 2.1. Økonomisk ramme 2022'!C16)*(1+'Fane 12. Nøgletal'!C14)</f>
        <v>315069.20857000008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770035.72472129297</v>
      </c>
      <c r="H38" s="14" t="s">
        <v>3</v>
      </c>
      <c r="I38" s="1"/>
    </row>
    <row r="39" spans="1:9" x14ac:dyDescent="0.25">
      <c r="A39" s="1"/>
      <c r="B39" s="57"/>
      <c r="C39" s="58"/>
      <c r="D39" s="58"/>
      <c r="E39" s="58"/>
      <c r="F39" s="58"/>
      <c r="G39" s="58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37856265.288030796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757125.30576061597</v>
      </c>
      <c r="H44" s="14" t="s">
        <v>3</v>
      </c>
      <c r="I44" s="1"/>
    </row>
    <row r="45" spans="1:9" x14ac:dyDescent="0.25">
      <c r="A45" s="1"/>
      <c r="B45" s="57"/>
      <c r="C45" s="58"/>
      <c r="D45" s="58"/>
      <c r="E45" s="58"/>
      <c r="F45" s="58"/>
      <c r="G45" s="58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37221567.144211672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744431.34288423345</v>
      </c>
      <c r="H50" s="14" t="s">
        <v>3</v>
      </c>
      <c r="I50" s="1"/>
    </row>
    <row r="51" spans="1:9" x14ac:dyDescent="0.25">
      <c r="A51" s="1"/>
      <c r="B51" s="57"/>
      <c r="C51" s="58"/>
      <c r="D51" s="58"/>
      <c r="E51" s="58"/>
      <c r="F51" s="58"/>
      <c r="G51" s="58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36597510.349471822</v>
      </c>
      <c r="H54" s="14" t="s">
        <v>3</v>
      </c>
      <c r="I54" s="1"/>
    </row>
    <row r="55" spans="1:9" x14ac:dyDescent="0.25">
      <c r="A55" s="1"/>
      <c r="B55" s="114" t="s">
        <v>200</v>
      </c>
      <c r="C55" s="115"/>
      <c r="D55" s="115"/>
      <c r="E55" s="115"/>
      <c r="F55" s="116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731950.20698943641</v>
      </c>
      <c r="H56" s="14" t="s">
        <v>3</v>
      </c>
      <c r="I56" s="1"/>
    </row>
    <row r="57" spans="1:9" x14ac:dyDescent="0.25">
      <c r="A57" s="1"/>
      <c r="B57" s="57"/>
      <c r="C57" s="58"/>
      <c r="D57" s="58"/>
      <c r="E57" s="58"/>
      <c r="F57" s="58"/>
      <c r="G57" s="58"/>
      <c r="H57" s="20"/>
      <c r="I57" s="1"/>
    </row>
  </sheetData>
  <sheetProtection algorithmName="SHA-512" hashValue="UTxKdobSBL5CWXlj17LnoiYKdVOvuhs1MTcHW4TYkWz8TRUeSHPlnVAoEqi06bvr0LdBh8vtQqrpgPjTx/+mmg==" saltValue="fy7XlSLQVMpxXL+/6j22K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62380457.62591286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567662.16439580708</v>
      </c>
      <c r="H6" s="14" t="s">
        <v>3</v>
      </c>
      <c r="I6" s="1"/>
    </row>
    <row r="7" spans="1:9" x14ac:dyDescent="0.25">
      <c r="A7" s="1"/>
      <c r="B7" s="57"/>
      <c r="C7" s="58"/>
      <c r="D7" s="58"/>
      <c r="E7" s="58"/>
      <c r="F7" s="58"/>
      <c r="G7" s="58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62597817.963878311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569640.14347129269</v>
      </c>
      <c r="H12" s="14" t="s">
        <v>3</v>
      </c>
      <c r="I12" s="1"/>
    </row>
    <row r="13" spans="1:9" x14ac:dyDescent="0.25">
      <c r="A13" s="1"/>
      <c r="B13" s="57"/>
      <c r="C13" s="58"/>
      <c r="D13" s="58"/>
      <c r="E13" s="58"/>
      <c r="F13" s="58"/>
      <c r="G13" s="58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63076454.02557189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-1269571.6226364074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5058784.0312019587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581731.2979769957</v>
      </c>
      <c r="H19" s="14" t="s">
        <v>3</v>
      </c>
      <c r="I19" s="1"/>
    </row>
    <row r="20" spans="1:9" x14ac:dyDescent="0.25">
      <c r="A20" s="1"/>
      <c r="B20" s="57"/>
      <c r="C20" s="58"/>
      <c r="D20" s="58"/>
      <c r="E20" s="58"/>
      <c r="F20" s="58"/>
      <c r="G20" s="58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67404133.639961556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1987306.0570124218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642855.45468681818</v>
      </c>
      <c r="H25" s="14" t="s">
        <v>3</v>
      </c>
      <c r="I25" s="1"/>
    </row>
    <row r="26" spans="1:9" x14ac:dyDescent="0.25">
      <c r="A26" s="1"/>
      <c r="B26" s="57"/>
      <c r="C26" s="58"/>
      <c r="D26" s="58"/>
      <c r="E26" s="58"/>
      <c r="F26" s="58"/>
      <c r="G26" s="58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69587316.970043063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24">
        <v>1486358.0823369599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1954526.0639404508</v>
      </c>
      <c r="H31" s="14" t="s">
        <v>3</v>
      </c>
      <c r="I31" s="1"/>
    </row>
    <row r="32" spans="1:9" x14ac:dyDescent="0.25">
      <c r="A32" s="1"/>
      <c r="B32" s="57"/>
      <c r="C32" s="58"/>
      <c r="D32" s="58"/>
      <c r="E32" s="58"/>
      <c r="F32" s="58"/>
      <c r="G32" s="58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69962402.606098533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1432121.7956286208</v>
      </c>
      <c r="H36" s="14" t="s">
        <v>3</v>
      </c>
      <c r="I36" s="38"/>
    </row>
    <row r="37" spans="1:9" x14ac:dyDescent="0.25">
      <c r="A37" s="1"/>
      <c r="B37" s="114" t="s">
        <v>193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122648.49067027001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1925781.2693296296</v>
      </c>
      <c r="H38" s="14" t="s">
        <v>3</v>
      </c>
      <c r="I38" s="1"/>
    </row>
    <row r="39" spans="1:9" x14ac:dyDescent="0.25">
      <c r="A39" s="1"/>
      <c r="B39" s="57"/>
      <c r="C39" s="58"/>
      <c r="D39" s="58"/>
      <c r="E39" s="58"/>
      <c r="F39" s="58"/>
      <c r="G39" s="58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68384195.417869732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1012086.0921844721</v>
      </c>
      <c r="H44" s="14" t="s">
        <v>3</v>
      </c>
      <c r="I44" s="1"/>
    </row>
    <row r="45" spans="1:9" x14ac:dyDescent="0.25">
      <c r="A45" s="1"/>
      <c r="B45" s="57"/>
      <c r="C45" s="58"/>
      <c r="D45" s="58"/>
      <c r="E45" s="58"/>
      <c r="F45" s="58"/>
      <c r="G45" s="58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67594437.286460027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1000397.6718396085</v>
      </c>
      <c r="H50" s="14" t="s">
        <v>3</v>
      </c>
      <c r="I50" s="1"/>
    </row>
    <row r="51" spans="1:9" x14ac:dyDescent="0.25">
      <c r="A51" s="1"/>
      <c r="B51" s="57"/>
      <c r="C51" s="58"/>
      <c r="D51" s="58"/>
      <c r="E51" s="58"/>
      <c r="F51" s="58"/>
      <c r="G51" s="58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194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195</v>
      </c>
      <c r="C54" s="115"/>
      <c r="D54" s="115"/>
      <c r="E54" s="115"/>
      <c r="F54" s="116"/>
      <c r="G54" s="24">
        <f>(G48+G49-G50)*(1+'Fane 12. Nøgletal'!C14)</f>
        <v>66813799.945348673</v>
      </c>
      <c r="H54" s="14" t="s">
        <v>3</v>
      </c>
      <c r="I54" s="1"/>
    </row>
    <row r="55" spans="1:9" x14ac:dyDescent="0.25">
      <c r="A55" s="1"/>
      <c r="B55" s="114" t="s">
        <v>196</v>
      </c>
      <c r="C55" s="115"/>
      <c r="D55" s="115"/>
      <c r="E55" s="115"/>
      <c r="F55" s="116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4" t="s">
        <v>197</v>
      </c>
      <c r="C56" s="115"/>
      <c r="D56" s="115"/>
      <c r="E56" s="115"/>
      <c r="F56" s="116"/>
      <c r="G56" s="24">
        <f>(G54+G55)*'Fane 12. Nøgletal'!C24</f>
        <v>988844.23919116042</v>
      </c>
      <c r="H56" s="14" t="s">
        <v>3</v>
      </c>
      <c r="I56" s="1"/>
    </row>
    <row r="57" spans="1:9" x14ac:dyDescent="0.25">
      <c r="A57" s="1"/>
      <c r="B57" s="57"/>
      <c r="C57" s="58"/>
      <c r="D57" s="58"/>
      <c r="E57" s="58"/>
      <c r="F57" s="58"/>
      <c r="G57" s="58"/>
      <c r="H57" s="20"/>
      <c r="I57" s="1"/>
    </row>
  </sheetData>
  <sheetProtection algorithmName="SHA-512" hashValue="lRVpYSqTt9UaKx1Ot1D+b0WRtqvPiQUNsxo0UeVV6mF0pOhkpfuJfubMHTFFHQzjrBB69IIn5zWZT01GqZP1fw==" saltValue="eAKxqtBlyvGLKuWBww/QrA==" spinCount="100000" sheet="1" objects="1" scenarios="1"/>
  <mergeCells count="37"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1.3246280198125895E-2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1.2158508151521705E-2</v>
      </c>
      <c r="H10" s="14"/>
      <c r="I10" s="1"/>
    </row>
    <row r="11" spans="1:9" x14ac:dyDescent="0.25">
      <c r="A11" s="1"/>
      <c r="B11" s="57"/>
      <c r="C11" s="58"/>
      <c r="D11" s="58"/>
      <c r="E11" s="58"/>
      <c r="F11" s="58"/>
      <c r="G11" s="58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EbQ5n82kUTqnGBfvjzdrJTic64+Pz1r2GkU199wsS+8mafHSsnblFL6lxvlRexiQHlZzLf+WjbRdpna5D2CyQ==" saltValue="rxef6sU9W48EgLwwPFfTt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2021-10-11T13:13:32Z</dcterms:modified>
</cp:coreProperties>
</file>