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Birkerød Vandforsyning Amba (V021)\ØR2025\"/>
    </mc:Choice>
  </mc:AlternateContent>
  <xr:revisionPtr revIDLastSave="0" documentId="13_ncr:1_{4F472886-7F76-4BF8-8C7C-700D3C3A41B8}"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18" i="40" l="1"/>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<sst xmlns="http://schemas.openxmlformats.org/spreadsheetml/2006/main" count="446" uniqueCount="202">
  <si>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</si>
  <si>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</si>
  <si>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</si>
  <si>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</si>
  <si>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</si>
  <si>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</si>
  <si>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</si>
  <si>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</si>
  <si>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</si>
  <si>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</si>
  <si>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</si>
  <si>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</si>
  <si>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</si>
  <si>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</si>
  <si>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</si>
  <si>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</si>
  <si>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</si>
  <si>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</si>
  <si>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</si>
  <si>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</si>
  <si>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</si>
  <si>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</si>
  <si>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</si>
  <si>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</si>
  <si>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</si>
  <si>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</si>
  <si>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</si>
  <si>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</si>
  <si>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</si>
  <si>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</si>
  <si>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</si>
  <si>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</si>
  <si>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</si>
  <si>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</si>
  <si>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</si>
  <si>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</si>
  <si>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</si>
  <si>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</si>
  <si>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</si>
  <si>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</si>
  <si>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</si>
  <si>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</si>
  <si>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</si>
  <si>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</si>
  <si>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</si>
  <si>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</si>
  <si>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</si>
  <si>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</si>
  <si>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</si>
  <si>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</si>
  <si>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</si>
  <si>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</si>
  <si>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</si>
  <si>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</si>
  <si>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</si>
  <si>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</si>
  <si>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</si>
  <si>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</si>
  <si>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</si>
  <si>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</si>
  <si>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</si>
  <si>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</si>
  <si>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</si>
  <si>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</si>
  <si>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</si>
  <si>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</si>
  <si>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</si>
  <si>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</si>
  <si>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</si>
  <si>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</si>
  <si>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</si>
  <si>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</si>
  <si>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</si>
  <si>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</si>
  <si>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</si>
  <si>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</si>
  <si>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</si>
  <si>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</si>
  <si>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</si>
  <si>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</si>
  <si>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</si>
  <si>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</si>
  <si>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</si>
  <si>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</si>
  <si>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</si>
  <si>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</si>
  <si>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</si>
  <si>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</si>
  <si>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</si>
  <si>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</si>
  <si>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</si>
  <si>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</si>
  <si>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</si>
  <si>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</si>
  <si>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</si>
  <si>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</si>
  <si>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</si>
  <si>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</si>
  <si>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</si>
  <si>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</si>
  <si>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</si>
  <si>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</si>
  <si>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</si>
  <si>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</si>
  <si>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</si>
  <si>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</si>
  <si>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</si>
  <si>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</si>
  <si>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</si>
  <si>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</si>
  <si>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</si>
  <si>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</si>
  <si>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</si>
  <si>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</si>
  <si>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</si>
  <si>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</si>
  <si>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</si>
  <si>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</si>
  <si>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</si>
  <si>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</si>
  <si>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</si>
  <si>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</si>
  <si>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</si>
  <si>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</si>
  <si>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</si>
  <si>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</si>
  <si>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</si>
  <si>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</si>
  <si>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</si>
  <si>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</si>
  <si>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</si>
  <si>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</si>
  <si>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</si>
  <si>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</si>
  <si>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</si>
  <si>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</si>
  <si>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</si>
  <si>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</si>
  <si>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</si>
  <si>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</si>
  <si>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</si>
  <si>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</si>
  <si>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</si>
  <si>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</si>
  <si>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</si>
  <si>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</si>
  <si>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</si>
  <si>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</si>
  <si>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</si>
  <si>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</si>
  <si>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</si>
  <si>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</si>
  <si>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</si>
  <si>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</si>
  <si>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</si>
  <si>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</si>
  <si>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</si>
  <si>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</si>
  <si>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</si>
  <si>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</si>
  <si>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</si>
  <si>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</si>
  <si>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</si>
  <si>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</si>
  <si>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</si>
  <si>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</si>
  <si>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</si>
  <si>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</si>
  <si>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</si>
  <si>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</si>
  <si>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</si>
  <si>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</si>
  <si>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</si>
  <si>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</si>
  <si>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</si>
  <si>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</si>
  <si>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</si>
  <si>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</si>
  <si>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</si>
  <si>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</si>
  <si>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</si>
  <si>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</si>
  <si>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</si>
  <si>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</si>
  <si>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</si>
  <si>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</si>
  <si>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</si>
  <si>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</si>
  <si>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</si>
  <si>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</si>
  <si>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</si>
  <si>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</si>
  <si>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Generelt effektiviseringskrav til brug for anlægsomkostninger i ØR2025-2026</t>
  </si>
  <si>
    <t>Prisudvikling til brug for ØR2025-2026</t>
  </si>
  <si>
    <t>Til økonomisk ramme for 2025-2026</t>
  </si>
  <si>
    <t>Afgift for ledningsført vand</t>
  </si>
  <si>
    <t>Afgift til Forsyningssekretariatet</t>
  </si>
  <si>
    <t>Køb af ydelser og produkter fra andre vandselskaber reguleret af vandsektorloven</t>
  </si>
  <si>
    <t>Ejendomsskatter</t>
  </si>
  <si>
    <t>Erstatninger</t>
  </si>
  <si>
    <t>Fradrag i den økonomiske ramme for 2029</t>
  </si>
  <si>
    <t>Fradrag i den økonomiske ramme for 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</si>
</sst>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65" fontId="8" fillId="4" borderId="1" xfId="1" applyNumberFormat="1" applyFont="1" applyFill="1" applyBorder="1" applyProtection="1"/>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1" fontId="8" fillId="0"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0" t="s">
        <v>4</v>
      </c>
      <c r="D6" s="80"/>
      <c r="E6" s="80"/>
      <c r="F6" s="80"/>
      <c r="G6" s="1"/>
    </row>
    <row r="7" spans="1:7" ht="15" customHeight="1" x14ac:dyDescent="0.25">
      <c r="A7" s="1"/>
      <c r="B7" s="3"/>
      <c r="C7" s="80"/>
      <c r="D7" s="80"/>
      <c r="E7" s="80"/>
      <c r="F7" s="80"/>
      <c r="G7" s="1"/>
    </row>
    <row r="8" spans="1:7" ht="15.75" x14ac:dyDescent="0.25">
      <c r="A8" s="1"/>
      <c r="B8" s="4"/>
      <c r="C8" s="85" t="s">
        <v>194</v>
      </c>
      <c r="D8" s="85"/>
      <c r="E8" s="85"/>
      <c r="F8" s="85"/>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4" t="s">
        <v>5</v>
      </c>
      <c r="D11" s="84"/>
      <c r="E11" s="84"/>
      <c r="F11" s="84"/>
      <c r="G11" s="1"/>
    </row>
    <row r="12" spans="1:7" x14ac:dyDescent="0.25">
      <c r="A12" s="1"/>
      <c r="B12" s="1"/>
      <c r="C12" s="1"/>
      <c r="D12" s="1"/>
      <c r="E12" s="1"/>
      <c r="F12" s="1"/>
      <c r="G12" s="1"/>
    </row>
    <row r="13" spans="1:7" x14ac:dyDescent="0.25">
      <c r="A13" s="1"/>
      <c r="B13" s="6" t="s">
        <v>6</v>
      </c>
      <c r="C13" s="77" t="s">
        <v>122</v>
      </c>
      <c r="D13" s="78"/>
      <c r="E13" s="78"/>
      <c r="F13" s="79"/>
      <c r="G13" s="1"/>
    </row>
    <row r="14" spans="1:7" x14ac:dyDescent="0.25">
      <c r="A14" s="1"/>
      <c r="B14" s="6" t="s">
        <v>14</v>
      </c>
      <c r="C14" s="77" t="s">
        <v>157</v>
      </c>
      <c r="D14" s="78"/>
      <c r="E14" s="78"/>
      <c r="F14" s="79"/>
      <c r="G14" s="1"/>
    </row>
    <row r="15" spans="1:7" x14ac:dyDescent="0.25">
      <c r="A15" s="1"/>
      <c r="B15" s="6" t="s">
        <v>29</v>
      </c>
      <c r="C15" s="77" t="s">
        <v>105</v>
      </c>
      <c r="D15" s="78"/>
      <c r="E15" s="78"/>
      <c r="F15" s="79"/>
      <c r="G15" s="1"/>
    </row>
    <row r="16" spans="1:7" x14ac:dyDescent="0.25">
      <c r="A16" s="1"/>
      <c r="B16" s="6" t="s">
        <v>30</v>
      </c>
      <c r="C16" s="77" t="s">
        <v>123</v>
      </c>
      <c r="D16" s="78"/>
      <c r="E16" s="78"/>
      <c r="F16" s="79"/>
      <c r="G16" s="1"/>
    </row>
    <row r="17" spans="1:7" x14ac:dyDescent="0.25">
      <c r="A17" s="1"/>
      <c r="B17" s="6" t="s">
        <v>57</v>
      </c>
      <c r="C17" s="77" t="s">
        <v>124</v>
      </c>
      <c r="D17" s="78"/>
      <c r="E17" s="78"/>
      <c r="F17" s="79"/>
      <c r="G17" s="1"/>
    </row>
    <row r="18" spans="1:7" x14ac:dyDescent="0.25">
      <c r="A18" s="1"/>
      <c r="B18" s="6" t="s">
        <v>49</v>
      </c>
      <c r="C18" s="86" t="s">
        <v>42</v>
      </c>
      <c r="D18" s="87"/>
      <c r="E18" s="87"/>
      <c r="F18" s="88"/>
      <c r="G18" s="1"/>
    </row>
    <row r="19" spans="1:7" x14ac:dyDescent="0.25">
      <c r="A19" s="1"/>
      <c r="B19" s="6" t="s">
        <v>50</v>
      </c>
      <c r="C19" s="86" t="s">
        <v>43</v>
      </c>
      <c r="D19" s="87"/>
      <c r="E19" s="87"/>
      <c r="F19" s="88"/>
      <c r="G19" s="1"/>
    </row>
    <row r="20" spans="1:7" x14ac:dyDescent="0.25">
      <c r="A20" s="1"/>
      <c r="B20" s="6" t="s">
        <v>7</v>
      </c>
      <c r="C20" s="86" t="s">
        <v>9</v>
      </c>
      <c r="D20" s="87"/>
      <c r="E20" s="87"/>
      <c r="F20" s="88"/>
      <c r="G20" s="1"/>
    </row>
    <row r="21" spans="1:7" x14ac:dyDescent="0.25">
      <c r="A21" s="1"/>
      <c r="B21" s="6" t="s">
        <v>51</v>
      </c>
      <c r="C21" s="92" t="s">
        <v>11</v>
      </c>
      <c r="D21" s="93"/>
      <c r="E21" s="93"/>
      <c r="F21" s="94"/>
      <c r="G21" s="1"/>
    </row>
    <row r="22" spans="1:7" x14ac:dyDescent="0.25">
      <c r="A22" s="1"/>
      <c r="B22" s="6" t="s">
        <v>37</v>
      </c>
      <c r="C22" s="81" t="s">
        <v>125</v>
      </c>
      <c r="D22" s="82"/>
      <c r="E22" s="82"/>
      <c r="F22" s="83"/>
      <c r="G22" s="1"/>
    </row>
    <row r="23" spans="1:7" x14ac:dyDescent="0.25">
      <c r="A23" s="1"/>
      <c r="B23" s="6" t="s">
        <v>8</v>
      </c>
      <c r="C23" s="81" t="s">
        <v>89</v>
      </c>
      <c r="D23" s="82"/>
      <c r="E23" s="82"/>
      <c r="F23" s="83"/>
      <c r="G23" s="1"/>
    </row>
    <row r="24" spans="1:7" x14ac:dyDescent="0.25">
      <c r="A24" s="1"/>
      <c r="B24" s="6" t="s">
        <v>85</v>
      </c>
      <c r="C24" s="81" t="s">
        <v>78</v>
      </c>
      <c r="D24" s="82"/>
      <c r="E24" s="82"/>
      <c r="F24" s="83"/>
      <c r="G24" s="1"/>
    </row>
    <row r="25" spans="1:7" x14ac:dyDescent="0.25">
      <c r="A25" s="1"/>
      <c r="B25" s="6" t="s">
        <v>86</v>
      </c>
      <c r="C25" s="81" t="s">
        <v>38</v>
      </c>
      <c r="D25" s="82"/>
      <c r="E25" s="82"/>
      <c r="F25" s="83"/>
      <c r="G25" s="1"/>
    </row>
    <row r="26" spans="1:7" x14ac:dyDescent="0.25">
      <c r="A26" s="1"/>
      <c r="B26" s="6" t="s">
        <v>87</v>
      </c>
      <c r="C26" s="81" t="s">
        <v>39</v>
      </c>
      <c r="D26" s="82"/>
      <c r="E26" s="82"/>
      <c r="F26" s="83"/>
      <c r="G26" s="1"/>
    </row>
    <row r="27" spans="1:7" x14ac:dyDescent="0.25">
      <c r="A27" s="1"/>
      <c r="B27" s="6" t="s">
        <v>52</v>
      </c>
      <c r="C27" s="81" t="s">
        <v>58</v>
      </c>
      <c r="D27" s="82"/>
      <c r="E27" s="82"/>
      <c r="F27" s="83"/>
      <c r="G27" s="1"/>
    </row>
    <row r="28" spans="1:7" x14ac:dyDescent="0.25">
      <c r="A28" s="1"/>
      <c r="B28" s="6" t="s">
        <v>46</v>
      </c>
      <c r="C28" s="81" t="s">
        <v>31</v>
      </c>
      <c r="D28" s="82"/>
      <c r="E28" s="82"/>
      <c r="F28" s="83"/>
      <c r="G28" s="1"/>
    </row>
    <row r="29" spans="1:7" x14ac:dyDescent="0.25">
      <c r="A29" s="1"/>
      <c r="B29" s="6" t="s">
        <v>88</v>
      </c>
      <c r="C29" s="89" t="s">
        <v>47</v>
      </c>
      <c r="D29" s="90"/>
      <c r="E29" s="90"/>
      <c r="F29" s="9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BlG+RKl+ZW4ejHOV1X28alUOnoyV08spOV7Y1r9j28HbxNiSLlY7YtbOHehKPhV406GdrujW9EsSLA/mf9p8Hw==" saltValue="560hyMwyg6m20pZl9L4Z9g==" spinCount="100000" sheet="1" objects="1" scenarios="1"/>
  <mergeCells count="20">
    <mergeCell ref="C28:F28"/>
    <mergeCell ref="C29:F29"/>
    <mergeCell ref="C21:F21"/>
    <mergeCell ref="C24:F24"/>
    <mergeCell ref="C25:F25"/>
    <mergeCell ref="C27:F27"/>
    <mergeCell ref="C26:F26"/>
    <mergeCell ref="C23:F23"/>
    <mergeCell ref="C14:F14"/>
    <mergeCell ref="C6:F7"/>
    <mergeCell ref="C22:F22"/>
    <mergeCell ref="C11:F11"/>
    <mergeCell ref="C8:F8"/>
    <mergeCell ref="C15:F15"/>
    <mergeCell ref="C16:F16"/>
    <mergeCell ref="C13:F13"/>
    <mergeCell ref="C17:F17"/>
    <mergeCell ref="C18:F18"/>
    <mergeCell ref="C19:F19"/>
    <mergeCell ref="C20:F20"/>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55</v>
      </c>
      <c r="C3" s="95"/>
      <c r="D3" s="95"/>
      <c r="E3" s="1"/>
    </row>
    <row r="4" spans="1:5" ht="15" customHeight="1" x14ac:dyDescent="0.25">
      <c r="A4" s="1"/>
      <c r="B4" s="95"/>
      <c r="C4" s="95"/>
      <c r="D4" s="9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9" t="s">
        <v>140</v>
      </c>
      <c r="C8" s="100"/>
      <c r="D8" s="101"/>
      <c r="E8" s="1"/>
    </row>
    <row r="9" spans="1:5" ht="15" customHeight="1" x14ac:dyDescent="0.25">
      <c r="A9" s="1"/>
      <c r="B9" s="51" t="s">
        <v>27</v>
      </c>
      <c r="C9" s="45" t="s">
        <v>143</v>
      </c>
      <c r="D9" s="11"/>
      <c r="E9" s="1"/>
    </row>
    <row r="10" spans="1:5" ht="15" customHeight="1" x14ac:dyDescent="0.25">
      <c r="A10" s="1"/>
      <c r="B10" s="65" t="s">
        <v>195</v>
      </c>
      <c r="C10" s="66">
        <v>6186493</v>
      </c>
      <c r="D10" s="14" t="s">
        <v>3</v>
      </c>
      <c r="E10" s="1"/>
    </row>
    <row r="11" spans="1:5" x14ac:dyDescent="0.25">
      <c r="A11" s="1"/>
      <c r="B11" s="65" t="s">
        <v>196</v>
      </c>
      <c r="C11" s="66">
        <v>59856</v>
      </c>
      <c r="D11" s="14" t="s">
        <v>3</v>
      </c>
      <c r="E11" s="1"/>
    </row>
    <row r="12" spans="1:5" ht="25.5" x14ac:dyDescent="0.25">
      <c r="A12" s="1"/>
      <c r="B12" s="65" t="s">
        <v>197</v>
      </c>
      <c r="C12" s="66">
        <v>94580.64</v>
      </c>
      <c r="D12" s="14" t="s">
        <v>3</v>
      </c>
      <c r="E12" s="1"/>
    </row>
    <row r="13" spans="1:5" x14ac:dyDescent="0.25">
      <c r="A13" s="1"/>
      <c r="B13" s="65" t="s">
        <v>198</v>
      </c>
      <c r="C13" s="66">
        <v>28937.99</v>
      </c>
      <c r="D13" s="14" t="s">
        <v>3</v>
      </c>
      <c r="E13" s="1"/>
    </row>
    <row r="14" spans="1:5" x14ac:dyDescent="0.25">
      <c r="A14" s="1"/>
      <c r="B14" s="65" t="s">
        <v>199</v>
      </c>
      <c r="C14" s="66">
        <v>17448.7</v>
      </c>
      <c r="D14" s="14" t="s">
        <v>3</v>
      </c>
      <c r="E14" s="1"/>
    </row>
    <row r="15" spans="1:5" x14ac:dyDescent="0.25">
      <c r="A15" s="1"/>
      <c r="B15" s="65"/>
      <c r="C15" s="66"/>
      <c r="D15" s="14" t="s">
        <v>3</v>
      </c>
      <c r="E15" s="1"/>
    </row>
    <row r="16" spans="1:5" x14ac:dyDescent="0.25">
      <c r="A16" s="1"/>
      <c r="B16" s="65"/>
      <c r="C16" s="66"/>
      <c r="D16" s="14" t="s">
        <v>3</v>
      </c>
      <c r="E16" s="1"/>
    </row>
    <row r="17" spans="1:5" x14ac:dyDescent="0.25">
      <c r="A17" s="1"/>
      <c r="B17" s="65"/>
      <c r="C17" s="66"/>
      <c r="D17" s="14" t="s">
        <v>3</v>
      </c>
      <c r="E17" s="1"/>
    </row>
    <row r="18" spans="1:5" x14ac:dyDescent="0.25">
      <c r="A18" s="1"/>
      <c r="B18" s="65"/>
      <c r="C18" s="66"/>
      <c r="D18" s="14" t="s">
        <v>3</v>
      </c>
      <c r="E18" s="1"/>
    </row>
    <row r="19" spans="1:5" x14ac:dyDescent="0.25">
      <c r="A19" s="1"/>
      <c r="B19" s="52" t="s">
        <v>141</v>
      </c>
      <c r="C19" s="12">
        <f>SUM(C10:C18)</f>
        <v>6387316.3300000001</v>
      </c>
      <c r="D19" s="13" t="s">
        <v>3</v>
      </c>
      <c r="E19" s="1"/>
    </row>
    <row r="20" spans="1:5" x14ac:dyDescent="0.25">
      <c r="A20" s="1"/>
      <c r="B20" s="52" t="s">
        <v>142</v>
      </c>
      <c r="C20" s="12">
        <f>C19*(1+'Fane 13. Nøgletal'!C11)^2</f>
        <v>7262351.1378766177</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Q4Iqvurw3f0R5tHyF/cjAKwc4p81DcMNKIx22QVbIu+HzlMXhGgWANQVhyAi+Ur4URnO/c4hfd/+PMHxVy8Ziw==" saltValue="ZCG5SmbaHXvtrxym+7RcB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7" t="s">
        <v>170</v>
      </c>
      <c r="C3" s="97"/>
      <c r="D3" s="97"/>
      <c r="E3" s="1"/>
    </row>
    <row r="4" spans="1:5" ht="15" customHeight="1" x14ac:dyDescent="0.25">
      <c r="A4" s="1"/>
      <c r="B4" s="97"/>
      <c r="C4" s="97"/>
      <c r="D4" s="97"/>
      <c r="E4" s="1"/>
    </row>
    <row r="5" spans="1:5" ht="15" customHeight="1" x14ac:dyDescent="0.25">
      <c r="A5" s="1"/>
      <c r="B5" s="97"/>
      <c r="C5" s="97"/>
      <c r="D5" s="97"/>
      <c r="E5" s="1"/>
    </row>
    <row r="6" spans="1:5" ht="15" customHeight="1" x14ac:dyDescent="0.25">
      <c r="A6" s="1"/>
      <c r="B6" s="68"/>
      <c r="C6" s="68"/>
      <c r="D6" s="68"/>
      <c r="E6" s="1"/>
    </row>
    <row r="7" spans="1:5" x14ac:dyDescent="0.25">
      <c r="A7" s="1"/>
      <c r="B7" s="1"/>
      <c r="C7" s="1"/>
      <c r="D7" s="1"/>
      <c r="E7" s="1"/>
    </row>
    <row r="8" spans="1:5" x14ac:dyDescent="0.25">
      <c r="A8" s="1"/>
      <c r="B8" s="99" t="s">
        <v>173</v>
      </c>
      <c r="C8" s="100"/>
      <c r="D8" s="101"/>
      <c r="E8" s="1"/>
    </row>
    <row r="9" spans="1:5" x14ac:dyDescent="0.25">
      <c r="A9" s="1"/>
      <c r="B9" s="56" t="s">
        <v>174</v>
      </c>
      <c r="C9" s="9">
        <v>-1839095.0620779693</v>
      </c>
      <c r="D9" s="39" t="s">
        <v>3</v>
      </c>
      <c r="E9" s="1"/>
    </row>
    <row r="10" spans="1:5" x14ac:dyDescent="0.25">
      <c r="A10" s="1"/>
      <c r="B10" s="56" t="s">
        <v>172</v>
      </c>
      <c r="C10" s="9">
        <v>365970.50554233789</v>
      </c>
      <c r="D10" s="14" t="s">
        <v>3</v>
      </c>
      <c r="E10" s="1"/>
    </row>
    <row r="11" spans="1:5" x14ac:dyDescent="0.25">
      <c r="A11" s="1"/>
      <c r="B11" s="52"/>
      <c r="C11" s="53"/>
      <c r="D11" s="19"/>
      <c r="E11" s="1"/>
    </row>
    <row r="12" spans="1:5" ht="53.85" customHeight="1" x14ac:dyDescent="0.25">
      <c r="A12" s="1"/>
      <c r="B12" s="108" t="s">
        <v>171</v>
      </c>
      <c r="C12" s="109"/>
      <c r="D12" s="110"/>
      <c r="E12" s="1"/>
    </row>
    <row r="13" spans="1:5" x14ac:dyDescent="0.25">
      <c r="A13" s="1"/>
      <c r="B13" s="1"/>
      <c r="C13" s="1"/>
      <c r="D13" s="1"/>
      <c r="E13" s="1"/>
    </row>
    <row r="14" spans="1:5" x14ac:dyDescent="0.25">
      <c r="A14" s="1"/>
      <c r="B14" s="69" t="s">
        <v>175</v>
      </c>
      <c r="C14" s="70"/>
      <c r="D14" s="71"/>
      <c r="E14" s="1"/>
    </row>
    <row r="15" spans="1:5" x14ac:dyDescent="0.25">
      <c r="A15" s="1"/>
      <c r="B15" s="56" t="s">
        <v>176</v>
      </c>
      <c r="C15" s="9">
        <f>IF(C10&lt;0,C10,0)</f>
        <v>0</v>
      </c>
      <c r="D15" s="14" t="s">
        <v>3</v>
      </c>
      <c r="E15" s="1"/>
    </row>
    <row r="16" spans="1:5" x14ac:dyDescent="0.25">
      <c r="A16" s="1"/>
      <c r="B16" s="56" t="s">
        <v>183</v>
      </c>
      <c r="C16" s="9">
        <f>IF(SUM(C9)&gt;0,SUM(C9),0)</f>
        <v>0</v>
      </c>
      <c r="D16" s="14" t="s">
        <v>3</v>
      </c>
      <c r="E16" s="1"/>
    </row>
    <row r="17" spans="1:5" ht="26.25" x14ac:dyDescent="0.25">
      <c r="A17" s="1"/>
      <c r="B17" s="72" t="s">
        <v>177</v>
      </c>
      <c r="C17" s="62">
        <f>IF(SUM(C15:C16)&gt;0,0,SUM(C15:C16))</f>
        <v>0</v>
      </c>
      <c r="D17" s="17" t="s">
        <v>3</v>
      </c>
      <c r="E17" s="1"/>
    </row>
    <row r="18" spans="1:5" x14ac:dyDescent="0.25">
      <c r="A18" s="1"/>
      <c r="B18" s="52"/>
      <c r="C18" s="53"/>
      <c r="D18" s="19"/>
      <c r="E18" s="1"/>
    </row>
    <row r="19" spans="1:5" x14ac:dyDescent="0.25">
      <c r="A19" s="1"/>
      <c r="B19" s="1"/>
      <c r="C19" s="1"/>
      <c r="D19" s="1"/>
      <c r="E19" s="1"/>
    </row>
    <row r="20" spans="1:5" x14ac:dyDescent="0.25">
      <c r="A20" s="1"/>
      <c r="B20" s="69" t="s">
        <v>178</v>
      </c>
      <c r="C20" s="70"/>
      <c r="D20" s="71"/>
      <c r="E20" s="1"/>
    </row>
    <row r="21" spans="1:5" x14ac:dyDescent="0.25">
      <c r="A21" s="1"/>
      <c r="B21" s="56" t="s">
        <v>179</v>
      </c>
      <c r="C21" s="9">
        <v>17472715.896283776</v>
      </c>
      <c r="D21" s="14" t="s">
        <v>3</v>
      </c>
      <c r="E21" s="1"/>
    </row>
    <row r="22" spans="1:5" x14ac:dyDescent="0.25">
      <c r="A22" s="1"/>
      <c r="B22" s="56" t="s">
        <v>180</v>
      </c>
      <c r="C22" s="9">
        <v>16399838</v>
      </c>
      <c r="D22" s="14" t="s">
        <v>3</v>
      </c>
      <c r="E22" s="1"/>
    </row>
    <row r="23" spans="1:5" x14ac:dyDescent="0.25">
      <c r="A23" s="1"/>
      <c r="B23" s="56" t="s">
        <v>28</v>
      </c>
      <c r="C23" s="9">
        <v>0</v>
      </c>
      <c r="D23" s="14" t="s">
        <v>3</v>
      </c>
      <c r="E23" s="1"/>
    </row>
    <row r="24" spans="1:5" x14ac:dyDescent="0.25">
      <c r="A24" s="1"/>
      <c r="B24" s="74" t="s">
        <v>181</v>
      </c>
      <c r="C24" s="46">
        <f>C21-C22-C23</f>
        <v>1072877.8962837756</v>
      </c>
      <c r="D24" s="17" t="s">
        <v>3</v>
      </c>
      <c r="E24" s="1"/>
    </row>
    <row r="25" spans="1:5" x14ac:dyDescent="0.25">
      <c r="A25" s="1"/>
      <c r="B25" s="52"/>
      <c r="C25" s="53"/>
      <c r="D25" s="19"/>
      <c r="E25" s="1"/>
    </row>
    <row r="26" spans="1:5" x14ac:dyDescent="0.25">
      <c r="A26" s="1"/>
      <c r="B26" s="1"/>
      <c r="C26" s="1"/>
      <c r="D26" s="1"/>
      <c r="E26" s="1"/>
    </row>
    <row r="27" spans="1:5" x14ac:dyDescent="0.25">
      <c r="A27" s="1"/>
      <c r="B27" s="99" t="s">
        <v>182</v>
      </c>
      <c r="C27" s="100"/>
      <c r="D27" s="101"/>
      <c r="E27" s="1"/>
    </row>
    <row r="28" spans="1:5" x14ac:dyDescent="0.25">
      <c r="A28" s="1"/>
      <c r="B28" s="57" t="s">
        <v>65</v>
      </c>
      <c r="C28" s="9">
        <f>IF(C17&lt;0,IF(C24&lt;0,SUM(C17,C24),IF(C9&gt;0,SUM(C9:C10),C17)),IF(AND(C24&lt;0,SUM(C24,C10)&lt;0),IF(C10&lt;0,C24,IF(SUM(C9:C10)&gt;0,SUM(C24,C10),IF(AND(C24&lt;0,C17=0,C10&gt;0),IF(SUM(C9:C10)&gt;0,C24+C10,C24)))),IF(AND(SUM(C9:C10)&lt;0,C17=0,C24&lt;0),C24,0)))</f>
        <v>0</v>
      </c>
      <c r="D28" s="14" t="s">
        <v>3</v>
      </c>
      <c r="E28" s="1"/>
    </row>
    <row r="29" spans="1:5" x14ac:dyDescent="0.25">
      <c r="A29" s="1"/>
      <c r="B29" s="57" t="s">
        <v>48</v>
      </c>
      <c r="C29" s="9">
        <v>2</v>
      </c>
      <c r="D29" s="14" t="s">
        <v>18</v>
      </c>
      <c r="E29" s="1"/>
    </row>
    <row r="30" spans="1:5" x14ac:dyDescent="0.25">
      <c r="A30" s="1"/>
      <c r="B30" s="58" t="s">
        <v>64</v>
      </c>
      <c r="C30" s="10">
        <f>C28/C29</f>
        <v>0</v>
      </c>
      <c r="D30" s="17" t="s">
        <v>3</v>
      </c>
      <c r="E30" s="1"/>
    </row>
    <row r="31" spans="1:5" x14ac:dyDescent="0.25">
      <c r="A31" s="1"/>
      <c r="B31" s="111"/>
      <c r="C31" s="112"/>
      <c r="D31" s="113"/>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KbRosIkKs4hBeRJ5DCMHz9d5pnE2rd1bbIUD5+mI7fcgF2L2sulrl35ehKm+JjnxrkwmtJHiEDGJmRnagLR4Zg==" saltValue="ERya/3buVJdhILZsCoLz+Q=="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2"/>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7" t="s">
        <v>96</v>
      </c>
      <c r="C3" s="97"/>
      <c r="D3" s="97"/>
      <c r="E3" s="1"/>
    </row>
    <row r="4" spans="1:5" ht="15" customHeight="1" x14ac:dyDescent="0.25">
      <c r="A4" s="1"/>
      <c r="B4" s="97"/>
      <c r="C4" s="97"/>
      <c r="D4" s="97"/>
      <c r="E4" s="1"/>
    </row>
    <row r="5" spans="1:5" x14ac:dyDescent="0.25">
      <c r="A5" s="1"/>
      <c r="B5" s="97"/>
      <c r="C5" s="97"/>
      <c r="D5" s="97"/>
      <c r="E5" s="1"/>
    </row>
    <row r="6" spans="1:5" x14ac:dyDescent="0.25">
      <c r="A6" s="1"/>
      <c r="B6" s="1"/>
      <c r="C6" s="1"/>
      <c r="D6" s="1"/>
      <c r="E6" s="1"/>
    </row>
    <row r="7" spans="1:5" x14ac:dyDescent="0.25">
      <c r="A7" s="1"/>
      <c r="B7" s="1"/>
      <c r="C7" s="1"/>
      <c r="D7" s="1"/>
      <c r="E7" s="1"/>
    </row>
    <row r="8" spans="1:5" x14ac:dyDescent="0.25">
      <c r="A8" s="1"/>
      <c r="B8" s="99" t="s">
        <v>97</v>
      </c>
      <c r="C8" s="100"/>
      <c r="D8" s="101"/>
      <c r="E8" s="1"/>
    </row>
    <row r="9" spans="1:5" ht="15" customHeight="1" x14ac:dyDescent="0.25">
      <c r="A9" s="1"/>
      <c r="B9" s="114" t="s">
        <v>121</v>
      </c>
      <c r="C9" s="115"/>
      <c r="D9" s="116"/>
      <c r="E9" s="1"/>
    </row>
    <row r="10" spans="1:5" x14ac:dyDescent="0.25">
      <c r="A10" s="1"/>
      <c r="B10" s="59" t="s">
        <v>98</v>
      </c>
      <c r="C10" s="9">
        <v>0</v>
      </c>
      <c r="D10" s="9" t="s">
        <v>3</v>
      </c>
      <c r="E10" s="1"/>
    </row>
    <row r="11" spans="1:5" x14ac:dyDescent="0.25">
      <c r="A11" s="1"/>
      <c r="B11" s="59" t="s">
        <v>99</v>
      </c>
      <c r="C11" s="9">
        <v>0</v>
      </c>
      <c r="D11" s="9" t="s">
        <v>3</v>
      </c>
      <c r="E11" s="1"/>
    </row>
    <row r="12" spans="1:5" x14ac:dyDescent="0.25">
      <c r="A12" s="1"/>
      <c r="B12" s="59" t="s">
        <v>100</v>
      </c>
      <c r="C12" s="9">
        <v>-365837</v>
      </c>
      <c r="D12" s="9" t="s">
        <v>3</v>
      </c>
      <c r="E12" s="1"/>
    </row>
    <row r="13" spans="1:5" x14ac:dyDescent="0.25">
      <c r="A13" s="1"/>
      <c r="B13" s="59" t="s">
        <v>101</v>
      </c>
      <c r="C13" s="9">
        <v>-365837</v>
      </c>
      <c r="D13" s="9" t="s">
        <v>3</v>
      </c>
      <c r="E13" s="1"/>
    </row>
    <row r="14" spans="1:5" x14ac:dyDescent="0.25">
      <c r="A14" s="1"/>
      <c r="B14" s="59" t="s">
        <v>102</v>
      </c>
      <c r="C14" s="9">
        <v>-365837</v>
      </c>
      <c r="D14" s="9" t="s">
        <v>3</v>
      </c>
      <c r="E14" s="1"/>
    </row>
    <row r="15" spans="1:5" x14ac:dyDescent="0.25">
      <c r="A15" s="1"/>
      <c r="B15" s="59" t="s">
        <v>103</v>
      </c>
      <c r="C15" s="9">
        <v>-365837</v>
      </c>
      <c r="D15" s="9" t="s">
        <v>3</v>
      </c>
      <c r="E15" s="1"/>
    </row>
    <row r="16" spans="1:5" x14ac:dyDescent="0.25">
      <c r="A16" s="1"/>
      <c r="B16" s="59" t="s">
        <v>200</v>
      </c>
      <c r="C16" s="9">
        <v>-365837</v>
      </c>
      <c r="D16" s="9" t="s">
        <v>3</v>
      </c>
      <c r="E16" s="1"/>
    </row>
    <row r="17" spans="1:5" x14ac:dyDescent="0.25">
      <c r="A17" s="1"/>
      <c r="B17" s="59" t="s">
        <v>201</v>
      </c>
      <c r="C17" s="9">
        <v>-365837</v>
      </c>
      <c r="D17" s="9" t="s">
        <v>3</v>
      </c>
      <c r="E17" s="1"/>
    </row>
    <row r="18" spans="1:5" x14ac:dyDescent="0.25">
      <c r="A18" s="1"/>
      <c r="B18" s="69" t="s">
        <v>104</v>
      </c>
      <c r="C18" s="12">
        <f>SUM(C10:C17)</f>
        <v>-2195022</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1"/>
      <c r="B50" s="1"/>
      <c r="C50" s="1"/>
      <c r="D50" s="1"/>
      <c r="E50" s="1"/>
    </row>
    <row r="51" spans="1:5" hidden="1" x14ac:dyDescent="0.25"/>
    <row r="52" spans="1:5" hidden="1" x14ac:dyDescent="0.25"/>
  </sheetData>
  <sheetProtection algorithmName="SHA-512" hashValue="64OMA5x+762nFhii8VW6WRW1GM5qZpIXRgfJf6i30wWKphdUnNpMUY2tviEHTYFwlet/OAWPTJwPvqBoOch3TA==" saltValue="SSQgB4tjB1PMSugl5uN8yw=="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5" t="s">
        <v>90</v>
      </c>
      <c r="C3" s="95"/>
      <c r="D3" s="95"/>
      <c r="E3" s="95"/>
      <c r="F3" s="95"/>
      <c r="G3" s="95"/>
      <c r="H3" s="95"/>
      <c r="I3" s="95"/>
      <c r="J3" s="95"/>
      <c r="K3" s="95"/>
      <c r="L3" s="1"/>
    </row>
    <row r="4" spans="1:12" ht="15" customHeight="1" x14ac:dyDescent="0.25">
      <c r="A4" s="1"/>
      <c r="B4" s="95"/>
      <c r="C4" s="95"/>
      <c r="D4" s="95"/>
      <c r="E4" s="95"/>
      <c r="F4" s="95"/>
      <c r="G4" s="95"/>
      <c r="H4" s="95"/>
      <c r="I4" s="95"/>
      <c r="J4" s="95"/>
      <c r="K4" s="9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9" t="s">
        <v>74</v>
      </c>
      <c r="C8" s="100"/>
      <c r="D8" s="100"/>
      <c r="E8" s="100"/>
      <c r="F8" s="100"/>
      <c r="G8" s="100"/>
      <c r="H8" s="100"/>
      <c r="I8" s="100"/>
      <c r="J8" s="100"/>
      <c r="K8" s="101"/>
      <c r="L8" s="1"/>
    </row>
    <row r="9" spans="1:12" ht="39.75" customHeight="1" x14ac:dyDescent="0.25">
      <c r="A9" s="1"/>
      <c r="B9" s="18" t="s">
        <v>0</v>
      </c>
      <c r="C9" s="18" t="s">
        <v>1</v>
      </c>
      <c r="D9" s="117" t="s">
        <v>83</v>
      </c>
      <c r="E9" s="118"/>
      <c r="F9" s="117" t="s">
        <v>2</v>
      </c>
      <c r="G9" s="118"/>
      <c r="H9" s="117" t="s">
        <v>84</v>
      </c>
      <c r="I9" s="118"/>
      <c r="J9" s="117" t="s">
        <v>25</v>
      </c>
      <c r="K9" s="118"/>
      <c r="L9" s="1"/>
    </row>
    <row r="10" spans="1:12" x14ac:dyDescent="0.25">
      <c r="A10" s="1"/>
      <c r="B10" s="59" t="s">
        <v>190</v>
      </c>
      <c r="C10" s="48">
        <v>0</v>
      </c>
      <c r="D10" s="9">
        <v>0</v>
      </c>
      <c r="E10" s="14" t="s">
        <v>3</v>
      </c>
      <c r="F10" s="61">
        <f>IFERROR(D10/C10,0)</f>
        <v>0</v>
      </c>
      <c r="G10" s="14" t="s">
        <v>3</v>
      </c>
      <c r="H10" s="9">
        <v>0</v>
      </c>
      <c r="I10" s="14" t="s">
        <v>3</v>
      </c>
      <c r="J10" s="9">
        <v>0</v>
      </c>
      <c r="K10" s="14" t="s">
        <v>3</v>
      </c>
      <c r="L10" s="1"/>
    </row>
    <row r="11" spans="1:12" x14ac:dyDescent="0.25">
      <c r="A11" s="1"/>
      <c r="B11" s="52" t="s">
        <v>144</v>
      </c>
      <c r="C11" s="53"/>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OMue8PrF75+Q6c9ucr/ZlkA2+k8/1lKbwuPZReQcOETvSA5B5Ri+m5cbkAmsqMT21y9IrpQL2/cOQwnXUalrrQ==" saltValue="xV0N0HXXxmQgVIjtYAkdU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91</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2" t="s">
        <v>15</v>
      </c>
      <c r="C9" s="74" t="s">
        <v>10</v>
      </c>
      <c r="D9" s="73"/>
      <c r="E9" s="74"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c r="C11" s="21"/>
      <c r="D11" s="14" t="s">
        <v>3</v>
      </c>
      <c r="E11" s="9"/>
      <c r="F11" s="14" t="s">
        <v>3</v>
      </c>
      <c r="G11" s="1"/>
    </row>
    <row r="12" spans="1:7" x14ac:dyDescent="0.25">
      <c r="A12" s="1"/>
      <c r="B12" s="26"/>
      <c r="C12" s="21"/>
      <c r="D12" s="14" t="s">
        <v>3</v>
      </c>
      <c r="E12" s="9"/>
      <c r="F12" s="14" t="s">
        <v>3</v>
      </c>
      <c r="G12" s="1"/>
    </row>
    <row r="13" spans="1:7" x14ac:dyDescent="0.25">
      <c r="A13" s="1"/>
      <c r="B13" s="26"/>
      <c r="C13" s="21"/>
      <c r="D13" s="14" t="s">
        <v>3</v>
      </c>
      <c r="E13" s="9"/>
      <c r="F13" s="14" t="s">
        <v>3</v>
      </c>
      <c r="G13" s="1"/>
    </row>
    <row r="14" spans="1:7" x14ac:dyDescent="0.25">
      <c r="A14" s="1"/>
      <c r="B14" s="26"/>
      <c r="C14" s="21"/>
      <c r="D14" s="14" t="s">
        <v>3</v>
      </c>
      <c r="E14" s="9"/>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110</v>
      </c>
      <c r="C17" s="12">
        <f>SUM(C10:C16)</f>
        <v>0</v>
      </c>
      <c r="D17" s="13" t="s">
        <v>3</v>
      </c>
      <c r="E17" s="12">
        <f>SUM(E10:E16)</f>
        <v>0</v>
      </c>
      <c r="F17" s="13" t="s">
        <v>3</v>
      </c>
      <c r="G17" s="1"/>
    </row>
    <row r="18" spans="1:7" x14ac:dyDescent="0.25">
      <c r="A18" s="1"/>
      <c r="B18" s="52" t="s">
        <v>145</v>
      </c>
      <c r="C18" s="12">
        <f>C17*(1+'Fane 13. Nøgletal'!C11)</f>
        <v>0</v>
      </c>
      <c r="D18" s="13" t="s">
        <v>3</v>
      </c>
      <c r="E18" s="12">
        <f>E17*(1+'Fane 13. Nøgletal'!C11)</f>
        <v>0</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tHF19ZcsHtKkfEx7On2k0ktPMr8ibhgRTuRNFuxunxiFdANwSoi9ZpDl0zS46XJlfiPr+MkMdNdAAnxHlYY7Ew==" saltValue="fpAQOntmMVWKe/M87FHsG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92</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9" t="s">
        <v>148</v>
      </c>
      <c r="C8" s="100"/>
      <c r="D8" s="100"/>
      <c r="E8" s="100"/>
      <c r="F8" s="101"/>
      <c r="G8" s="1"/>
    </row>
    <row r="9" spans="1:7" x14ac:dyDescent="0.25">
      <c r="A9" s="1"/>
      <c r="B9" s="72" t="s">
        <v>15</v>
      </c>
      <c r="C9" s="74" t="s">
        <v>10</v>
      </c>
      <c r="D9" s="75"/>
      <c r="E9" s="74" t="s">
        <v>26</v>
      </c>
      <c r="F9" s="27"/>
      <c r="G9" s="1"/>
    </row>
    <row r="10" spans="1:7" x14ac:dyDescent="0.25">
      <c r="A10" s="1"/>
      <c r="B10" s="23"/>
      <c r="C10" s="21"/>
      <c r="D10" s="14" t="s">
        <v>3</v>
      </c>
      <c r="E10" s="9"/>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2" t="s">
        <v>146</v>
      </c>
      <c r="C13" s="12">
        <f>SUM(C10:C12)</f>
        <v>0</v>
      </c>
      <c r="D13" s="13" t="s">
        <v>3</v>
      </c>
      <c r="E13" s="12">
        <f>SUM(E10:E12)</f>
        <v>0</v>
      </c>
      <c r="F13" s="13" t="s">
        <v>3</v>
      </c>
      <c r="G13" s="1"/>
    </row>
    <row r="14" spans="1:7" x14ac:dyDescent="0.25">
      <c r="A14" s="1"/>
      <c r="B14" s="52" t="s">
        <v>147</v>
      </c>
      <c r="C14" s="12">
        <f>C13*(1+'Fane 13. Nøgletal'!$C$11)^2</f>
        <v>0</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JSe7t4NijU2ZVtVYn4AYKFCuqbMOUV1E0u3E2eZ+cn8rQ0vtCmAELFUUIp3ybDrF9A4CjpEbBQi175Eu30f4A==" saltValue="+m8GGvMoQTzgOnJOqJeexw=="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93</v>
      </c>
      <c r="C3" s="97"/>
      <c r="D3" s="97"/>
      <c r="E3" s="97"/>
      <c r="F3" s="97"/>
      <c r="G3" s="1"/>
    </row>
    <row r="4" spans="1:7" ht="15" customHeight="1" x14ac:dyDescent="0.25">
      <c r="A4" s="1"/>
      <c r="B4" s="97"/>
      <c r="C4" s="97"/>
      <c r="D4" s="97"/>
      <c r="E4" s="97"/>
      <c r="F4" s="97"/>
      <c r="G4" s="1"/>
    </row>
    <row r="5" spans="1:7" x14ac:dyDescent="0.25">
      <c r="A5" s="1"/>
      <c r="B5" s="97"/>
      <c r="C5" s="97"/>
      <c r="D5" s="97"/>
      <c r="E5" s="97"/>
      <c r="F5" s="97"/>
      <c r="G5" s="1"/>
    </row>
    <row r="6" spans="1:7" x14ac:dyDescent="0.25">
      <c r="A6" s="1"/>
      <c r="B6" s="1"/>
      <c r="C6" s="1"/>
      <c r="D6" s="1"/>
      <c r="E6" s="1"/>
      <c r="F6" s="1"/>
      <c r="G6" s="1"/>
    </row>
    <row r="7" spans="1:7" x14ac:dyDescent="0.25">
      <c r="A7" s="1"/>
      <c r="B7" s="1"/>
      <c r="C7" s="1"/>
      <c r="D7" s="1"/>
      <c r="E7" s="1"/>
      <c r="F7" s="1"/>
      <c r="G7" s="1"/>
    </row>
    <row r="8" spans="1:7" x14ac:dyDescent="0.25">
      <c r="A8" s="1"/>
      <c r="B8" s="99" t="s">
        <v>59</v>
      </c>
      <c r="C8" s="100"/>
      <c r="D8" s="100"/>
      <c r="E8" s="100"/>
      <c r="F8" s="101"/>
      <c r="G8" s="1"/>
    </row>
    <row r="9" spans="1:7" ht="15" customHeight="1" x14ac:dyDescent="0.25">
      <c r="A9" s="1"/>
      <c r="B9" s="54" t="s">
        <v>60</v>
      </c>
      <c r="C9" s="119" t="s">
        <v>10</v>
      </c>
      <c r="D9" s="120"/>
      <c r="E9" s="119" t="s">
        <v>26</v>
      </c>
      <c r="F9" s="120"/>
      <c r="G9" s="1"/>
    </row>
    <row r="10" spans="1:7" ht="26.25" x14ac:dyDescent="0.25">
      <c r="A10" s="1"/>
      <c r="B10" s="60" t="s">
        <v>188</v>
      </c>
      <c r="C10" s="9">
        <v>0</v>
      </c>
      <c r="D10" s="14" t="s">
        <v>3</v>
      </c>
      <c r="E10" s="9">
        <v>0</v>
      </c>
      <c r="F10" s="14" t="s">
        <v>3</v>
      </c>
      <c r="G10" s="1"/>
    </row>
    <row r="11" spans="1:7" ht="28.5" customHeight="1" x14ac:dyDescent="0.25">
      <c r="A11" s="1"/>
      <c r="B11" s="20" t="s">
        <v>113</v>
      </c>
      <c r="C11" s="12">
        <f>SUM(C10:C10)</f>
        <v>0</v>
      </c>
      <c r="D11" s="13" t="s">
        <v>3</v>
      </c>
      <c r="E11" s="12">
        <f>SUM(E10:E10)</f>
        <v>0</v>
      </c>
      <c r="F11" s="13" t="s">
        <v>3</v>
      </c>
      <c r="G11" s="1"/>
    </row>
    <row r="12" spans="1:7" ht="27" customHeight="1" x14ac:dyDescent="0.25">
      <c r="A12" s="1"/>
      <c r="B12" s="20" t="s">
        <v>149</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MsCR0cFRFUujG3SNcoDMcRD0QoaFGalJLDfDWrDNZ7JztSagWLjPt2z9EDJN+iL9NihQ+rEPN+hZ+22Svfv4Og==" saltValue="OGbALfrv/tyTAIC1Kxi7YQ=="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94</v>
      </c>
      <c r="C3" s="97"/>
      <c r="D3" s="97"/>
      <c r="E3" s="97"/>
      <c r="F3" s="97"/>
      <c r="G3" s="1"/>
    </row>
    <row r="4" spans="1:7" ht="15" customHeight="1" x14ac:dyDescent="0.25">
      <c r="A4" s="1"/>
      <c r="B4" s="97"/>
      <c r="C4" s="97"/>
      <c r="D4" s="97"/>
      <c r="E4" s="97"/>
      <c r="F4" s="97"/>
      <c r="G4" s="1"/>
    </row>
    <row r="5" spans="1:7" x14ac:dyDescent="0.25">
      <c r="A5" s="1"/>
      <c r="B5" s="97"/>
      <c r="C5" s="97"/>
      <c r="D5" s="97"/>
      <c r="E5" s="97"/>
      <c r="F5" s="97"/>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9" t="s">
        <v>150</v>
      </c>
      <c r="C8" s="100"/>
      <c r="D8" s="100"/>
      <c r="E8" s="100"/>
      <c r="F8" s="101"/>
      <c r="G8" s="1"/>
    </row>
    <row r="9" spans="1:7" x14ac:dyDescent="0.25">
      <c r="A9" s="1"/>
      <c r="B9" s="54" t="s">
        <v>16</v>
      </c>
      <c r="C9" s="51" t="s">
        <v>10</v>
      </c>
      <c r="D9" s="27"/>
      <c r="E9" s="51" t="s">
        <v>26</v>
      </c>
      <c r="F9" s="27"/>
      <c r="G9" s="1"/>
    </row>
    <row r="10" spans="1:7" x14ac:dyDescent="0.25">
      <c r="A10" s="1"/>
      <c r="B10" s="60" t="s">
        <v>189</v>
      </c>
      <c r="C10" s="9">
        <v>0</v>
      </c>
      <c r="D10" s="14" t="s">
        <v>3</v>
      </c>
      <c r="E10" s="9">
        <v>0</v>
      </c>
      <c r="F10" s="14" t="s">
        <v>3</v>
      </c>
      <c r="G10" s="1"/>
    </row>
    <row r="11" spans="1:7" x14ac:dyDescent="0.25">
      <c r="A11" s="1"/>
      <c r="B11" s="52" t="s">
        <v>120</v>
      </c>
      <c r="C11" s="12">
        <f>SUM(C10:C10)</f>
        <v>0</v>
      </c>
      <c r="D11" s="13" t="s">
        <v>3</v>
      </c>
      <c r="E11" s="12">
        <f>SUM(E10:E10)</f>
        <v>0</v>
      </c>
      <c r="F11" s="13" t="s">
        <v>3</v>
      </c>
      <c r="G11" s="1"/>
    </row>
    <row r="12" spans="1:7" x14ac:dyDescent="0.25">
      <c r="A12" s="1"/>
      <c r="B12" s="52" t="s">
        <v>187</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77Fc6bf0hO7h29Jqogh5djS7CUzmCwBTdXCcFIBQu8LiPCQJZnB0Lh+3YkurVuYMK4FLvexBoAHDr45nsVpvUQ==" saltValue="/rOjXckWSsoomNgoiL47zQ=="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7" t="s">
        <v>95</v>
      </c>
      <c r="C3" s="97"/>
      <c r="D3" s="1"/>
    </row>
    <row r="4" spans="1:4" ht="15" customHeight="1" x14ac:dyDescent="0.25">
      <c r="A4" s="1"/>
      <c r="B4" s="97"/>
      <c r="C4" s="97"/>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185</v>
      </c>
      <c r="C9" s="49">
        <v>3.56E-2</v>
      </c>
      <c r="D9" s="1"/>
    </row>
    <row r="10" spans="1:4" x14ac:dyDescent="0.25">
      <c r="A10" s="1"/>
      <c r="B10" s="43" t="s">
        <v>184</v>
      </c>
      <c r="C10" s="49">
        <v>8.0799999999999997E-2</v>
      </c>
      <c r="D10" s="1"/>
    </row>
    <row r="11" spans="1:4" x14ac:dyDescent="0.25">
      <c r="A11" s="1"/>
      <c r="B11" s="43" t="s">
        <v>193</v>
      </c>
      <c r="C11" s="49">
        <v>6.6299999999999998E-2</v>
      </c>
      <c r="D11" s="1"/>
    </row>
    <row r="12" spans="1:4" x14ac:dyDescent="0.25">
      <c r="A12" s="1"/>
      <c r="B12" s="99"/>
      <c r="C12" s="101"/>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186</v>
      </c>
      <c r="C16" s="37">
        <v>0</v>
      </c>
      <c r="D16" s="1"/>
    </row>
    <row r="17" spans="1:4" x14ac:dyDescent="0.25">
      <c r="A17" s="1"/>
      <c r="B17" s="43" t="s">
        <v>109</v>
      </c>
      <c r="C17" s="37">
        <v>0</v>
      </c>
      <c r="D17" s="1"/>
    </row>
    <row r="18" spans="1:4" x14ac:dyDescent="0.25">
      <c r="A18" s="1"/>
      <c r="B18" s="43" t="s">
        <v>192</v>
      </c>
      <c r="C18" s="64">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7r8NwA573uujCCTEVWYWeSC2/X4Tmi05P/44LD/S5Ff9vrAQNYN0FFj1ORHI2U/iE9ThNcLf3ON0MIt0DrukBg==" saltValue="tADO7pKn+ztb8N6MmPmvmw=="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126</v>
      </c>
      <c r="C3" s="95"/>
      <c r="D3" s="95"/>
      <c r="E3" s="1"/>
    </row>
    <row r="4" spans="1:5" ht="15" customHeight="1" x14ac:dyDescent="0.25">
      <c r="A4" s="1"/>
      <c r="B4" s="95"/>
      <c r="C4" s="95"/>
      <c r="D4" s="9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10480834.373238113</v>
      </c>
      <c r="D9" s="8" t="s">
        <v>3</v>
      </c>
      <c r="E9" s="1"/>
    </row>
    <row r="10" spans="1:5" ht="17.100000000000001" customHeight="1" x14ac:dyDescent="0.25">
      <c r="A10" s="1"/>
      <c r="B10" s="24" t="s">
        <v>32</v>
      </c>
      <c r="C10" s="7">
        <f>'Fane 10.1. Varige tillæg'!C18</f>
        <v>0</v>
      </c>
      <c r="D10" s="8" t="s">
        <v>3</v>
      </c>
      <c r="E10" s="1"/>
    </row>
    <row r="11" spans="1:5" ht="17.100000000000001" customHeight="1" x14ac:dyDescent="0.25">
      <c r="A11" s="1"/>
      <c r="B11" s="24" t="s">
        <v>33</v>
      </c>
      <c r="C11" s="9">
        <f>'Fane 10.1. Varige tillæg'!E18</f>
        <v>0</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694879.3189456868</v>
      </c>
      <c r="D16" s="8" t="s">
        <v>3</v>
      </c>
      <c r="E16" s="1"/>
    </row>
    <row r="17" spans="1:5" ht="17.100000000000001" customHeight="1" x14ac:dyDescent="0.25">
      <c r="A17" s="1"/>
      <c r="B17" s="24" t="s">
        <v>9</v>
      </c>
      <c r="C17" s="9">
        <f>-SUM(C9:C16)*'Fane 5. Individuelt eff. krav'!C9</f>
        <v>0</v>
      </c>
      <c r="D17" s="8" t="s">
        <v>3</v>
      </c>
      <c r="E17" s="1"/>
    </row>
    <row r="18" spans="1:5" ht="17.100000000000001" customHeight="1" x14ac:dyDescent="0.25">
      <c r="A18" s="1"/>
      <c r="B18" s="24" t="s">
        <v>21</v>
      </c>
      <c r="C18" s="9">
        <f>-'Fane 4.1. Gen. krav - drift'!C17</f>
        <v>-126979.92707753599</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4" t="s">
        <v>19</v>
      </c>
      <c r="C20" s="10">
        <f>SUM(C9:C19)</f>
        <v>11048733.765106265</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7262351.1378766177</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0</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0</v>
      </c>
      <c r="D26" s="8" t="s">
        <v>3</v>
      </c>
      <c r="E26" s="1"/>
    </row>
    <row r="27" spans="1:5" ht="15" customHeight="1" x14ac:dyDescent="0.25">
      <c r="A27" s="1"/>
      <c r="B27" s="24" t="s">
        <v>80</v>
      </c>
      <c r="C27" s="9">
        <f>-C25*('Fane 13. Nøgletal'!C18+'Fane 5. Individuelt eff. krav'!C9)</f>
        <v>0</v>
      </c>
      <c r="D27" s="8" t="s">
        <v>3</v>
      </c>
      <c r="E27" s="1"/>
    </row>
    <row r="28" spans="1:5" x14ac:dyDescent="0.25">
      <c r="A28" s="1"/>
      <c r="B28" s="74" t="s">
        <v>40</v>
      </c>
      <c r="C28" s="50">
        <f>SUM(C24:C27)</f>
        <v>0</v>
      </c>
      <c r="D28" s="11" t="s">
        <v>3</v>
      </c>
      <c r="E28" s="1"/>
    </row>
    <row r="29" spans="1:5" ht="15" customHeight="1" x14ac:dyDescent="0.25">
      <c r="A29" s="1"/>
      <c r="B29" s="25" t="s">
        <v>65</v>
      </c>
      <c r="C29" s="53"/>
      <c r="D29" s="19"/>
      <c r="E29" s="1"/>
    </row>
    <row r="30" spans="1:5" x14ac:dyDescent="0.25">
      <c r="A30" s="1"/>
      <c r="B30" s="58" t="s">
        <v>66</v>
      </c>
      <c r="C30" s="10">
        <f>'Fane 7. Kontrol af ØR2023'!C30</f>
        <v>0</v>
      </c>
      <c r="D30" s="11" t="s">
        <v>3</v>
      </c>
      <c r="E30" s="1"/>
    </row>
    <row r="31" spans="1:5" x14ac:dyDescent="0.25">
      <c r="A31" s="1"/>
      <c r="B31" s="25" t="s">
        <v>70</v>
      </c>
      <c r="C31" s="53"/>
      <c r="D31" s="19"/>
      <c r="E31" s="1"/>
    </row>
    <row r="32" spans="1:5" x14ac:dyDescent="0.25">
      <c r="A32" s="1"/>
      <c r="B32" s="58" t="s">
        <v>71</v>
      </c>
      <c r="C32" s="10">
        <f>'Fane 8. Skattesagen'!C12</f>
        <v>-365837</v>
      </c>
      <c r="D32" s="11" t="s">
        <v>3</v>
      </c>
      <c r="E32" s="1"/>
    </row>
    <row r="33" spans="1:5" x14ac:dyDescent="0.25">
      <c r="A33" s="1"/>
      <c r="B33" s="52" t="s">
        <v>69</v>
      </c>
      <c r="C33" s="29">
        <f>SUM(C20,C22,C28,C30,C32)</f>
        <v>17945247.902982883</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v820pnYxS5z2G0Qd9aLJ1dnRgxTkqsVINZ+FIiRXNDpVeqMswf9pgJyHr/2kYz9GjX/wv/EV9TdA2jvcquIt0A==" saltValue="p+YNdwabTHCwcthMwIxSU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127</v>
      </c>
      <c r="C3" s="95"/>
      <c r="D3" s="95"/>
      <c r="E3" s="1"/>
    </row>
    <row r="4" spans="1:5" ht="15" customHeight="1" x14ac:dyDescent="0.25">
      <c r="A4" s="1"/>
      <c r="B4" s="95"/>
      <c r="C4" s="95"/>
      <c r="D4" s="95"/>
      <c r="E4" s="1"/>
    </row>
    <row r="5" spans="1:5" x14ac:dyDescent="0.25">
      <c r="A5" s="1"/>
      <c r="B5" s="96"/>
      <c r="C5" s="96"/>
      <c r="D5" s="96"/>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11048733.765106265</v>
      </c>
      <c r="D9" s="8" t="s">
        <v>3</v>
      </c>
      <c r="E9" s="1"/>
    </row>
    <row r="10" spans="1:5" ht="15" customHeight="1" x14ac:dyDescent="0.25">
      <c r="A10" s="1"/>
      <c r="B10" s="47" t="s">
        <v>17</v>
      </c>
      <c r="C10" s="41">
        <f>C9*'Fane 13. Nøgletal'!C11</f>
        <v>732531.04862654535</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drift'!C22</f>
        <v>-132690.72231792111</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11648574.091414889</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7743845.0183178373</v>
      </c>
      <c r="D16" s="11" t="s">
        <v>3</v>
      </c>
      <c r="E16" s="1"/>
    </row>
    <row r="17" spans="1:5" x14ac:dyDescent="0.25">
      <c r="A17" s="1"/>
      <c r="B17" s="25" t="s">
        <v>65</v>
      </c>
      <c r="C17" s="53"/>
      <c r="D17" s="19"/>
      <c r="E17" s="1"/>
    </row>
    <row r="18" spans="1:5" ht="15" customHeight="1" x14ac:dyDescent="0.25">
      <c r="A18" s="1"/>
      <c r="B18" s="45" t="s">
        <v>66</v>
      </c>
      <c r="C18" s="10">
        <f>'Fane 7. Kontrol af ØR2023'!C30</f>
        <v>0</v>
      </c>
      <c r="D18" s="11" t="s">
        <v>3</v>
      </c>
      <c r="E18" s="1"/>
    </row>
    <row r="19" spans="1:5" x14ac:dyDescent="0.25">
      <c r="A19" s="1"/>
      <c r="B19" s="25" t="s">
        <v>70</v>
      </c>
      <c r="C19" s="53"/>
      <c r="D19" s="19"/>
      <c r="E19" s="1"/>
    </row>
    <row r="20" spans="1:5" x14ac:dyDescent="0.25">
      <c r="A20" s="1"/>
      <c r="B20" s="58" t="s">
        <v>71</v>
      </c>
      <c r="C20" s="10">
        <f>'Fane 8. Skattesagen'!C13</f>
        <v>-365837</v>
      </c>
      <c r="D20" s="11" t="s">
        <v>3</v>
      </c>
      <c r="E20" s="1"/>
    </row>
    <row r="21" spans="1:5" x14ac:dyDescent="0.25">
      <c r="A21" s="1"/>
      <c r="B21" s="52" t="s">
        <v>73</v>
      </c>
      <c r="C21" s="12">
        <f>SUM(C14,C16,C18,C20)</f>
        <v>19026582.109732725</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HQCKoooeHLu9q8Z3uTsNCQdvyq0Raa4d4p5MDBkdFAfm3YqmuUSY3N+SCLQ1GeS86mKKL7h/0zQhLE4STYI4QQ==" saltValue="R4tuLFsrhd3jotBu8fHPF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128</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106</v>
      </c>
      <c r="C9" s="7">
        <f>'Fane 2.2. Økonomisk ramme 2026'!C14</f>
        <v>11648574.091414889</v>
      </c>
      <c r="D9" s="8" t="s">
        <v>3</v>
      </c>
      <c r="E9" s="1"/>
    </row>
    <row r="10" spans="1:5" ht="15" customHeight="1" x14ac:dyDescent="0.25">
      <c r="A10" s="1"/>
      <c r="B10" s="47" t="s">
        <v>17</v>
      </c>
      <c r="C10" s="41">
        <f>C9*'Fane 13. Nøgletal'!C11</f>
        <v>772300.46226080717</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drift'!C27</f>
        <v>-138658.35486344731</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12282216.198812248</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8257261.9430323103</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Skattesagen'!C14</f>
        <v>-365837</v>
      </c>
      <c r="D20" s="11" t="s">
        <v>3</v>
      </c>
      <c r="E20" s="1"/>
    </row>
    <row r="21" spans="1:5" x14ac:dyDescent="0.25">
      <c r="A21" s="1"/>
      <c r="B21" s="52" t="s">
        <v>107</v>
      </c>
      <c r="C21" s="12">
        <f>SUM(C14,C16,C18,C20)</f>
        <v>20173641.141844559</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47OKh9IHqR6ZcIS5xLZf/bQN3STXoiJTk/wZpjCm0uyFUnGk6otbhEmD18pUXEwc4Jyl4qR1isUZtEsZ3GcyQ==" saltValue="WKtd1XjjIwrFO6EkOa9p6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129</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130</v>
      </c>
      <c r="C9" s="7">
        <f>'Fane 2.3. Økonomisk ramme 2027'!C14</f>
        <v>12282216.198812248</v>
      </c>
      <c r="D9" s="8" t="s">
        <v>3</v>
      </c>
      <c r="E9" s="1"/>
    </row>
    <row r="10" spans="1:5" ht="15" customHeight="1" x14ac:dyDescent="0.25">
      <c r="A10" s="1"/>
      <c r="B10" s="47" t="s">
        <v>17</v>
      </c>
      <c r="C10" s="9">
        <f>C9*'Fane 13. Nøgletal'!C11</f>
        <v>814310.93398125202</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drift'!C32</f>
        <v>-144894.37571507599</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12951632.757078424</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8804718.4098553527</v>
      </c>
      <c r="D16" s="11" t="s">
        <v>3</v>
      </c>
      <c r="E16" s="1"/>
    </row>
    <row r="17" spans="1:5" x14ac:dyDescent="0.25">
      <c r="A17" s="1"/>
      <c r="B17" s="25" t="s">
        <v>70</v>
      </c>
      <c r="C17" s="53"/>
      <c r="D17" s="19"/>
      <c r="E17" s="1"/>
    </row>
    <row r="18" spans="1:5" x14ac:dyDescent="0.25">
      <c r="A18" s="1"/>
      <c r="B18" s="58" t="s">
        <v>71</v>
      </c>
      <c r="C18" s="10">
        <f>'Fane 8. Skattesagen'!C15</f>
        <v>-365837</v>
      </c>
      <c r="D18" s="11" t="s">
        <v>3</v>
      </c>
      <c r="E18" s="1"/>
    </row>
    <row r="19" spans="1:5" x14ac:dyDescent="0.25">
      <c r="A19" s="1"/>
      <c r="B19" s="52" t="s">
        <v>131</v>
      </c>
      <c r="C19" s="12">
        <f>SUM(C14,C16,C18)</f>
        <v>21390514.166933775</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dAP9UmWdwci3VdydKhbUX4tvJjwn1Hjp9imiDUOfE1wzckca3x8NGyvJ5+pE4KX2CdmH8X6QhDayqYLs3Xd0hQ==" saltValue="3exZ9VD4jmuCiDuQUyVSL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7" t="s">
        <v>132</v>
      </c>
      <c r="C3" s="97"/>
      <c r="D3" s="97"/>
      <c r="E3" s="1"/>
    </row>
    <row r="4" spans="1:5" ht="15" customHeight="1" x14ac:dyDescent="0.25">
      <c r="A4" s="1"/>
      <c r="B4" s="97"/>
      <c r="C4" s="97"/>
      <c r="D4" s="97"/>
      <c r="E4" s="1"/>
    </row>
    <row r="5" spans="1:5" ht="15" customHeight="1" x14ac:dyDescent="0.25">
      <c r="A5" s="1"/>
      <c r="B5" s="68"/>
      <c r="C5" s="68"/>
      <c r="D5" s="68"/>
      <c r="E5" s="1"/>
    </row>
    <row r="6" spans="1:5" ht="15" customHeight="1" x14ac:dyDescent="0.25">
      <c r="A6" s="1"/>
      <c r="B6" s="1"/>
      <c r="C6" s="1"/>
      <c r="D6" s="1"/>
      <c r="E6" s="1"/>
    </row>
    <row r="7" spans="1:5" x14ac:dyDescent="0.25">
      <c r="A7" s="1"/>
      <c r="B7" s="1"/>
      <c r="C7" s="1"/>
      <c r="D7" s="1"/>
      <c r="E7" s="1"/>
    </row>
    <row r="8" spans="1:5" x14ac:dyDescent="0.25">
      <c r="A8" s="1"/>
      <c r="B8" s="52" t="s">
        <v>133</v>
      </c>
      <c r="C8" s="53"/>
      <c r="D8" s="19"/>
      <c r="E8" s="1"/>
    </row>
    <row r="9" spans="1:5" x14ac:dyDescent="0.25">
      <c r="A9" s="1"/>
      <c r="B9" s="55" t="s">
        <v>63</v>
      </c>
      <c r="C9" s="7">
        <v>10042754.974256106</v>
      </c>
      <c r="D9" s="8" t="s">
        <v>3</v>
      </c>
      <c r="E9" s="1"/>
    </row>
    <row r="10" spans="1:5" x14ac:dyDescent="0.25">
      <c r="A10" s="1"/>
      <c r="B10" s="24" t="s">
        <v>32</v>
      </c>
      <c r="C10" s="7">
        <v>0</v>
      </c>
      <c r="D10" s="8" t="s">
        <v>3</v>
      </c>
      <c r="E10" s="1"/>
    </row>
    <row r="11" spans="1:5" ht="15" customHeight="1" x14ac:dyDescent="0.25">
      <c r="A11" s="1"/>
      <c r="B11" s="24" t="s">
        <v>33</v>
      </c>
      <c r="C11" s="9">
        <v>186965.43039999998</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372628.88385983731</v>
      </c>
      <c r="D16" s="8" t="s">
        <v>3</v>
      </c>
      <c r="E16" s="1"/>
    </row>
    <row r="17" spans="1:5" x14ac:dyDescent="0.25">
      <c r="A17" s="1"/>
      <c r="B17" s="24" t="s">
        <v>9</v>
      </c>
      <c r="C17" s="9">
        <v>0</v>
      </c>
      <c r="D17" s="8" t="s">
        <v>3</v>
      </c>
      <c r="E17" s="1"/>
    </row>
    <row r="18" spans="1:5" x14ac:dyDescent="0.25">
      <c r="A18" s="1"/>
      <c r="B18" s="24" t="s">
        <v>21</v>
      </c>
      <c r="C18" s="9">
        <v>-121514.91527783083</v>
      </c>
      <c r="D18" s="8" t="s">
        <v>3</v>
      </c>
      <c r="E18" s="1"/>
    </row>
    <row r="19" spans="1:5" x14ac:dyDescent="0.25">
      <c r="A19" s="1"/>
      <c r="B19" s="24" t="s">
        <v>22</v>
      </c>
      <c r="C19" s="9">
        <v>0</v>
      </c>
      <c r="D19" s="8" t="s">
        <v>3</v>
      </c>
      <c r="E19" s="1"/>
    </row>
    <row r="20" spans="1:5" x14ac:dyDescent="0.25">
      <c r="A20" s="1"/>
      <c r="B20" s="74" t="s">
        <v>19</v>
      </c>
      <c r="C20" s="10">
        <v>10480834.373238113</v>
      </c>
      <c r="D20" s="11" t="s">
        <v>3</v>
      </c>
      <c r="E20" s="1"/>
    </row>
    <row r="21" spans="1:5" x14ac:dyDescent="0.25">
      <c r="A21" s="1"/>
      <c r="B21" s="52" t="s">
        <v>11</v>
      </c>
      <c r="C21" s="53"/>
      <c r="D21" s="19"/>
      <c r="E21" s="1"/>
    </row>
    <row r="22" spans="1:5" x14ac:dyDescent="0.25">
      <c r="A22" s="1"/>
      <c r="B22" s="54" t="s">
        <v>11</v>
      </c>
      <c r="C22" s="10">
        <v>8643796.8248934392</v>
      </c>
      <c r="D22" s="11" t="s">
        <v>3</v>
      </c>
      <c r="E22" s="1"/>
    </row>
    <row r="23" spans="1:5" x14ac:dyDescent="0.25">
      <c r="A23" s="1"/>
      <c r="B23" s="52" t="s">
        <v>39</v>
      </c>
      <c r="C23" s="53"/>
      <c r="D23" s="19"/>
      <c r="E23" s="1"/>
    </row>
    <row r="24" spans="1:5" ht="15" customHeight="1" x14ac:dyDescent="0.25">
      <c r="A24" s="1"/>
      <c r="B24" s="24" t="s">
        <v>35</v>
      </c>
      <c r="C24" s="9">
        <v>0</v>
      </c>
      <c r="D24" s="8" t="s">
        <v>3</v>
      </c>
      <c r="E24" s="1"/>
    </row>
    <row r="25" spans="1:5" ht="14.25" customHeight="1" x14ac:dyDescent="0.25">
      <c r="A25" s="1"/>
      <c r="B25" s="24" t="s">
        <v>36</v>
      </c>
      <c r="C25" s="9">
        <v>128494.1504</v>
      </c>
      <c r="D25" s="8" t="s">
        <v>3</v>
      </c>
      <c r="E25" s="1"/>
    </row>
    <row r="26" spans="1:5" ht="14.25" customHeight="1" x14ac:dyDescent="0.25">
      <c r="A26" s="1"/>
      <c r="B26" s="24" t="s">
        <v>79</v>
      </c>
      <c r="C26" s="9">
        <v>0</v>
      </c>
      <c r="D26" s="8" t="s">
        <v>3</v>
      </c>
      <c r="E26" s="1"/>
    </row>
    <row r="27" spans="1:5" ht="14.25" customHeight="1" x14ac:dyDescent="0.25">
      <c r="A27" s="1"/>
      <c r="B27" s="24" t="s">
        <v>80</v>
      </c>
      <c r="C27" s="9">
        <v>0</v>
      </c>
      <c r="D27" s="8" t="s">
        <v>3</v>
      </c>
      <c r="E27" s="1"/>
    </row>
    <row r="28" spans="1:5" ht="14.25" customHeight="1" x14ac:dyDescent="0.25">
      <c r="A28" s="1"/>
      <c r="B28" s="74" t="s">
        <v>40</v>
      </c>
      <c r="C28" s="63">
        <v>128494.1504</v>
      </c>
      <c r="D28" s="11" t="s">
        <v>3</v>
      </c>
      <c r="E28" s="1"/>
    </row>
    <row r="29" spans="1:5" x14ac:dyDescent="0.25">
      <c r="A29" s="1"/>
      <c r="B29" s="25" t="s">
        <v>65</v>
      </c>
      <c r="C29" s="53"/>
      <c r="D29" s="19"/>
      <c r="E29" s="1"/>
    </row>
    <row r="30" spans="1:5" x14ac:dyDescent="0.25">
      <c r="A30" s="1"/>
      <c r="B30" s="58" t="s">
        <v>66</v>
      </c>
      <c r="C30" s="10">
        <v>-553577.07699966803</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52" t="s">
        <v>67</v>
      </c>
      <c r="C33" s="29">
        <v>18699548.271531887</v>
      </c>
      <c r="D33" s="19" t="s">
        <v>3</v>
      </c>
      <c r="E33" s="1"/>
    </row>
    <row r="34" spans="1:5" ht="30" customHeight="1" x14ac:dyDescent="0.25">
      <c r="A34" s="1"/>
      <c r="B34" s="98" t="s">
        <v>191</v>
      </c>
      <c r="C34" s="98"/>
      <c r="D34" s="98"/>
      <c r="E34" s="1"/>
    </row>
    <row r="35" spans="1:5" ht="27.75" customHeight="1"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DcWK9o/VjLCrchlOCDt3gqT29XF7+TbYiqAzkji1cTO/P1O0bMNdYxDeXa5b0X5EP52M+WN4Lt9k6H2i7FP+Fg==" saltValue="B+n+bk+vO8TsQD/MmpP05g=="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7" t="s">
        <v>53</v>
      </c>
      <c r="C3" s="97"/>
      <c r="D3" s="97"/>
      <c r="E3" s="1"/>
    </row>
    <row r="4" spans="1:5" ht="15" customHeight="1" x14ac:dyDescent="0.25">
      <c r="A4" s="1"/>
      <c r="B4" s="97"/>
      <c r="C4" s="97"/>
      <c r="D4" s="97"/>
      <c r="E4" s="1"/>
    </row>
    <row r="5" spans="1:5" ht="15" customHeight="1" x14ac:dyDescent="0.25">
      <c r="A5" s="1"/>
      <c r="B5" s="97"/>
      <c r="C5" s="97"/>
      <c r="D5" s="97"/>
      <c r="E5" s="1"/>
    </row>
    <row r="6" spans="1:5" ht="15" customHeight="1" x14ac:dyDescent="0.25">
      <c r="A6" s="1"/>
      <c r="B6" s="68"/>
      <c r="C6" s="68"/>
      <c r="D6" s="68"/>
      <c r="E6" s="1"/>
    </row>
    <row r="7" spans="1:5" x14ac:dyDescent="0.25">
      <c r="A7" s="1"/>
      <c r="B7" s="1"/>
      <c r="C7" s="32"/>
      <c r="D7" s="1"/>
      <c r="E7" s="1"/>
    </row>
    <row r="8" spans="1:5" x14ac:dyDescent="0.25">
      <c r="A8" s="1"/>
      <c r="B8" s="99" t="s">
        <v>75</v>
      </c>
      <c r="C8" s="100"/>
      <c r="D8" s="101"/>
      <c r="E8" s="1"/>
    </row>
    <row r="9" spans="1:5" x14ac:dyDescent="0.25">
      <c r="A9" s="1"/>
      <c r="B9" s="56" t="s">
        <v>165</v>
      </c>
      <c r="C9" s="22">
        <v>6075745.7638915414</v>
      </c>
      <c r="D9" s="14" t="s">
        <v>3</v>
      </c>
      <c r="E9" s="1"/>
    </row>
    <row r="10" spans="1:5" x14ac:dyDescent="0.25">
      <c r="A10" s="1"/>
      <c r="B10" s="56" t="s">
        <v>108</v>
      </c>
      <c r="C10" s="61">
        <f>('Fane 3. Omkostninger i ØR2024'!C10+'Fane 3. Omkostninger i ØR2024'!C12+'Fane 3. Omkostninger i ØR2024'!C14)*(1+'Fane 13. Nøgletal'!C10)</f>
        <v>0</v>
      </c>
      <c r="D10" s="14" t="s">
        <v>3</v>
      </c>
      <c r="E10" s="1"/>
    </row>
    <row r="11" spans="1:5" x14ac:dyDescent="0.25">
      <c r="A11" s="1"/>
      <c r="B11" s="56" t="s">
        <v>81</v>
      </c>
      <c r="C11" s="22">
        <f>C9*'Fane 13. Nøgletal'!C23+C10*'Fane 13. Nøgletal'!C23</f>
        <v>121514.91527783083</v>
      </c>
      <c r="D11" s="14" t="s">
        <v>3</v>
      </c>
      <c r="E11" s="1"/>
    </row>
    <row r="12" spans="1:5" x14ac:dyDescent="0.25">
      <c r="A12" s="1"/>
      <c r="B12" s="52"/>
      <c r="C12" s="31"/>
      <c r="D12" s="19"/>
      <c r="E12" s="1"/>
    </row>
    <row r="13" spans="1:5" x14ac:dyDescent="0.25">
      <c r="A13" s="1"/>
      <c r="B13" s="1"/>
      <c r="C13" s="32"/>
      <c r="D13" s="1"/>
      <c r="E13" s="1"/>
    </row>
    <row r="14" spans="1:5" x14ac:dyDescent="0.25">
      <c r="A14" s="1"/>
      <c r="B14" s="99" t="s">
        <v>151</v>
      </c>
      <c r="C14" s="100"/>
      <c r="D14" s="101"/>
      <c r="E14" s="1"/>
    </row>
    <row r="15" spans="1:5" x14ac:dyDescent="0.25">
      <c r="A15" s="1"/>
      <c r="B15" s="56" t="s">
        <v>166</v>
      </c>
      <c r="C15" s="22">
        <f>(C9+C10-C11)*(1+'Fane 13. Nøgletal'!C11)</f>
        <v>6348996.3538767993</v>
      </c>
      <c r="D15" s="14" t="s">
        <v>3</v>
      </c>
      <c r="E15" s="1"/>
    </row>
    <row r="16" spans="1:5" x14ac:dyDescent="0.25">
      <c r="A16" s="1"/>
      <c r="B16" s="56" t="s">
        <v>152</v>
      </c>
      <c r="C16" s="61">
        <f>('Fane 2.1. Økonomisk ramme 2025'!C10+'Fane 2.1. Økonomisk ramme 2025'!C12+'Fane 2.1. Økonomisk ramme 2025'!C14)*(1+'Fane 13. Nøgletal'!C11)</f>
        <v>0</v>
      </c>
      <c r="D16" s="14" t="s">
        <v>3</v>
      </c>
      <c r="E16" s="1"/>
    </row>
    <row r="17" spans="1:5" x14ac:dyDescent="0.25">
      <c r="A17" s="1"/>
      <c r="B17" s="56" t="s">
        <v>153</v>
      </c>
      <c r="C17" s="22">
        <f>(C15+C16)*'Fane 13. Nøgletal'!C23</f>
        <v>126979.92707753599</v>
      </c>
      <c r="D17" s="14" t="s">
        <v>3</v>
      </c>
      <c r="E17" s="1"/>
    </row>
    <row r="18" spans="1:5" x14ac:dyDescent="0.25">
      <c r="A18" s="1"/>
      <c r="B18" s="52"/>
      <c r="C18" s="31"/>
      <c r="D18" s="19"/>
      <c r="E18" s="1"/>
    </row>
    <row r="19" spans="1:5" x14ac:dyDescent="0.25">
      <c r="A19" s="1"/>
      <c r="B19" s="1"/>
      <c r="C19" s="32"/>
      <c r="D19" s="1"/>
      <c r="E19" s="1"/>
    </row>
    <row r="20" spans="1:5" x14ac:dyDescent="0.25">
      <c r="A20" s="1"/>
      <c r="B20" s="99" t="s">
        <v>168</v>
      </c>
      <c r="C20" s="100"/>
      <c r="D20" s="101"/>
      <c r="E20" s="1"/>
    </row>
    <row r="21" spans="1:5" x14ac:dyDescent="0.25">
      <c r="A21" s="1"/>
      <c r="B21" s="56" t="s">
        <v>167</v>
      </c>
      <c r="C21" s="48">
        <f>(C15+C16-C17)*(1+'Fane 13. Nøgletal'!C11)</f>
        <v>6634536.1158960555</v>
      </c>
      <c r="D21" s="14" t="s">
        <v>3</v>
      </c>
      <c r="E21" s="1"/>
    </row>
    <row r="22" spans="1:5" x14ac:dyDescent="0.25">
      <c r="A22" s="1"/>
      <c r="B22" s="56" t="s">
        <v>169</v>
      </c>
      <c r="C22" s="48">
        <f>(C21)*'Fane 13. Nøgletal'!C23</f>
        <v>132690.72231792111</v>
      </c>
      <c r="D22" s="14" t="s">
        <v>3</v>
      </c>
      <c r="E22" s="1"/>
    </row>
    <row r="23" spans="1:5" x14ac:dyDescent="0.25">
      <c r="A23" s="1"/>
      <c r="B23" s="52"/>
      <c r="C23" s="31"/>
      <c r="D23" s="19"/>
      <c r="E23" s="1"/>
    </row>
    <row r="24" spans="1:5" x14ac:dyDescent="0.25">
      <c r="A24" s="1"/>
      <c r="B24" s="1"/>
      <c r="C24" s="32"/>
      <c r="D24" s="1"/>
      <c r="E24" s="1"/>
    </row>
    <row r="25" spans="1:5" x14ac:dyDescent="0.25">
      <c r="A25" s="1"/>
      <c r="B25" s="99" t="s">
        <v>114</v>
      </c>
      <c r="C25" s="100"/>
      <c r="D25" s="101"/>
      <c r="E25" s="1"/>
    </row>
    <row r="26" spans="1:5" x14ac:dyDescent="0.25">
      <c r="A26" s="1"/>
      <c r="B26" s="56" t="s">
        <v>115</v>
      </c>
      <c r="C26" s="48">
        <f>(C21-C22)*(1+'Fane 13. Nøgletal'!C11)</f>
        <v>6932917.7431723652</v>
      </c>
      <c r="D26" s="14" t="s">
        <v>3</v>
      </c>
      <c r="E26" s="1"/>
    </row>
    <row r="27" spans="1:5" x14ac:dyDescent="0.25">
      <c r="A27" s="1"/>
      <c r="B27" s="56" t="s">
        <v>116</v>
      </c>
      <c r="C27" s="48">
        <f>(C26)*'Fane 13. Nøgletal'!C23</f>
        <v>138658.35486344731</v>
      </c>
      <c r="D27" s="14" t="s">
        <v>3</v>
      </c>
      <c r="E27" s="1"/>
    </row>
    <row r="28" spans="1:5" x14ac:dyDescent="0.25">
      <c r="A28" s="1"/>
      <c r="B28" s="52"/>
      <c r="C28" s="42"/>
      <c r="D28" s="19"/>
      <c r="E28" s="1"/>
    </row>
    <row r="29" spans="1:5" x14ac:dyDescent="0.25">
      <c r="A29" s="1"/>
      <c r="B29" s="1"/>
      <c r="C29" s="32"/>
      <c r="D29" s="1"/>
      <c r="E29" s="1"/>
    </row>
    <row r="30" spans="1:5" x14ac:dyDescent="0.25">
      <c r="A30" s="1"/>
      <c r="B30" s="99" t="s">
        <v>134</v>
      </c>
      <c r="C30" s="100"/>
      <c r="D30" s="101"/>
      <c r="E30" s="1"/>
    </row>
    <row r="31" spans="1:5" x14ac:dyDescent="0.25">
      <c r="A31" s="1"/>
      <c r="B31" s="56" t="s">
        <v>135</v>
      </c>
      <c r="C31" s="48">
        <f>(C26-C27)*(1+'Fane 13. Nøgletal'!C11)</f>
        <v>7244718.7857537996</v>
      </c>
      <c r="D31" s="14" t="s">
        <v>3</v>
      </c>
      <c r="E31" s="1"/>
    </row>
    <row r="32" spans="1:5" x14ac:dyDescent="0.25">
      <c r="A32" s="1"/>
      <c r="B32" s="56" t="s">
        <v>136</v>
      </c>
      <c r="C32" s="48">
        <f>(C31)*'Fane 13. Nøgletal'!C23</f>
        <v>144894.37571507599</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KCSeIkwyrD8n4rcQPVxlOwSVfqYXFwzuZAKU3F0T8SScyU4ay9mWSvD2pzJi5t6P3KPDtTyxFzzhZ0YMuwcrNQ==" saltValue="c4xiR+Dl5Snar+VCDXz0CQ=="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2" t="s">
        <v>54</v>
      </c>
      <c r="C3" s="103"/>
      <c r="D3" s="103"/>
      <c r="E3" s="1"/>
    </row>
    <row r="4" spans="1:5" ht="15" customHeight="1" x14ac:dyDescent="0.25">
      <c r="A4" s="1"/>
      <c r="B4" s="103"/>
      <c r="C4" s="103"/>
      <c r="D4" s="103"/>
      <c r="E4" s="1"/>
    </row>
    <row r="5" spans="1:5" ht="15" customHeight="1" x14ac:dyDescent="0.25">
      <c r="A5" s="1"/>
      <c r="B5" s="103"/>
      <c r="C5" s="103"/>
      <c r="D5" s="103"/>
      <c r="E5" s="1"/>
    </row>
    <row r="6" spans="1:5" ht="15" customHeight="1" x14ac:dyDescent="0.25">
      <c r="A6" s="1"/>
      <c r="B6" s="1"/>
      <c r="C6" s="1"/>
      <c r="D6" s="1"/>
      <c r="E6" s="1"/>
    </row>
    <row r="7" spans="1:5" ht="15" customHeight="1" x14ac:dyDescent="0.25">
      <c r="A7" s="1"/>
      <c r="B7" s="1"/>
      <c r="C7" s="1"/>
      <c r="D7" s="1"/>
      <c r="E7" s="1"/>
    </row>
    <row r="8" spans="1:5" x14ac:dyDescent="0.25">
      <c r="A8" s="1"/>
      <c r="B8" s="99" t="s">
        <v>76</v>
      </c>
      <c r="C8" s="100"/>
      <c r="D8" s="101"/>
      <c r="E8" s="1"/>
    </row>
    <row r="9" spans="1:5" x14ac:dyDescent="0.25">
      <c r="A9" s="1"/>
      <c r="B9" s="56" t="s">
        <v>160</v>
      </c>
      <c r="C9" s="48">
        <v>4329375.7404073849</v>
      </c>
      <c r="D9" s="14" t="s">
        <v>3</v>
      </c>
      <c r="E9" s="1"/>
    </row>
    <row r="10" spans="1:5" x14ac:dyDescent="0.25">
      <c r="A10" s="1"/>
      <c r="B10" s="56" t="s">
        <v>111</v>
      </c>
      <c r="C10" s="48">
        <f>('Fane 3. Omkostninger i ØR2024'!C11+'Fane 3. Omkostninger i ØR2024'!C13+'Fane 3. Omkostninger i ØR2024'!C15)*(1+'Fane 13. Nøgletal'!C10)</f>
        <v>202072.23717631999</v>
      </c>
      <c r="D10" s="14" t="s">
        <v>3</v>
      </c>
      <c r="E10" s="1"/>
    </row>
    <row r="11" spans="1:5" x14ac:dyDescent="0.25">
      <c r="A11" s="1"/>
      <c r="B11" s="56" t="s">
        <v>112</v>
      </c>
      <c r="C11" s="76">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9" t="s">
        <v>154</v>
      </c>
      <c r="C14" s="100"/>
      <c r="D14" s="101"/>
      <c r="E14" s="1"/>
    </row>
    <row r="15" spans="1:5" x14ac:dyDescent="0.25">
      <c r="A15" s="1"/>
      <c r="B15" s="56" t="s">
        <v>161</v>
      </c>
      <c r="C15" s="48">
        <f>(C9+C10-C11)*(1+'Fane 13. Nøgletal'!C11)</f>
        <v>4831882.9784975043</v>
      </c>
      <c r="D15" s="14" t="s">
        <v>3</v>
      </c>
      <c r="E15" s="1"/>
    </row>
    <row r="16" spans="1:5" x14ac:dyDescent="0.25">
      <c r="A16" s="1"/>
      <c r="B16" s="56" t="s">
        <v>155</v>
      </c>
      <c r="C16" s="76">
        <f>('Fane 2.1. Økonomisk ramme 2025'!C11+'Fane 2.1. Økonomisk ramme 2025'!C13+'Fane 2.1. Økonomisk ramme 2025'!C15)*(1+'Fane 13. Nøgletal'!C11)</f>
        <v>0</v>
      </c>
      <c r="D16" s="14" t="s">
        <v>3</v>
      </c>
      <c r="E16" s="1"/>
    </row>
    <row r="17" spans="1:5" x14ac:dyDescent="0.25">
      <c r="A17" s="1"/>
      <c r="B17" s="56" t="s">
        <v>156</v>
      </c>
      <c r="C17" s="76">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9" t="s">
        <v>164</v>
      </c>
      <c r="C20" s="100"/>
      <c r="D20" s="101"/>
      <c r="E20" s="1"/>
    </row>
    <row r="21" spans="1:5" x14ac:dyDescent="0.25">
      <c r="A21" s="1"/>
      <c r="B21" s="56" t="s">
        <v>162</v>
      </c>
      <c r="C21" s="48">
        <f>(C15+C16-C17)*(1+'Fane 13. Nøgletal'!C11)</f>
        <v>5152236.8199718893</v>
      </c>
      <c r="D21" s="14" t="s">
        <v>3</v>
      </c>
      <c r="E21" s="1"/>
    </row>
    <row r="22" spans="1:5" x14ac:dyDescent="0.25">
      <c r="A22" s="1"/>
      <c r="B22" s="56" t="s">
        <v>163</v>
      </c>
      <c r="C22" s="76">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9" t="s">
        <v>117</v>
      </c>
      <c r="C25" s="100"/>
      <c r="D25" s="101"/>
      <c r="E25" s="1"/>
    </row>
    <row r="26" spans="1:5" x14ac:dyDescent="0.25">
      <c r="A26" s="1"/>
      <c r="B26" s="56" t="s">
        <v>118</v>
      </c>
      <c r="C26" s="48">
        <f>(C21-C22)*(1+'Fane 13. Nøgletal'!C11)</f>
        <v>5493830.1211360255</v>
      </c>
      <c r="D26" s="14" t="s">
        <v>3</v>
      </c>
      <c r="E26" s="1"/>
    </row>
    <row r="27" spans="1:5" x14ac:dyDescent="0.25">
      <c r="A27" s="1"/>
      <c r="B27" s="56" t="s">
        <v>119</v>
      </c>
      <c r="C27" s="76">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9" t="s">
        <v>137</v>
      </c>
      <c r="C30" s="100"/>
      <c r="D30" s="101"/>
      <c r="E30" s="1"/>
    </row>
    <row r="31" spans="1:5" x14ac:dyDescent="0.25">
      <c r="A31" s="1"/>
      <c r="B31" s="56" t="s">
        <v>138</v>
      </c>
      <c r="C31" s="48">
        <f>(C26-C27)*(1+'Fane 13. Nøgletal'!C11)</f>
        <v>5858071.058167344</v>
      </c>
      <c r="D31" s="14" t="s">
        <v>3</v>
      </c>
      <c r="E31" s="1"/>
    </row>
    <row r="32" spans="1:5" x14ac:dyDescent="0.25">
      <c r="A32" s="1"/>
      <c r="B32" s="56" t="s">
        <v>139</v>
      </c>
      <c r="C32" s="76">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hxyKHSfdOqSvZgPtI/g2V8tNNouHy6hJzrTMd6AnDQrvNekAKweBkgqwsFnzxu+BFTC86lM2KaW841MwBuHlmQ==" saltValue="5/M+iybzmpJBQQWePvqBpg=="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5" t="s">
        <v>41</v>
      </c>
      <c r="C3" s="95"/>
      <c r="D3" s="1"/>
    </row>
    <row r="4" spans="1:4" ht="15" customHeight="1" x14ac:dyDescent="0.25">
      <c r="A4" s="1"/>
      <c r="B4" s="95"/>
      <c r="C4" s="9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9" t="s">
        <v>9</v>
      </c>
      <c r="C8" s="101"/>
      <c r="D8" s="1"/>
    </row>
    <row r="9" spans="1:4" x14ac:dyDescent="0.25">
      <c r="A9" s="1"/>
      <c r="B9" s="56" t="s">
        <v>158</v>
      </c>
      <c r="C9" s="44">
        <v>0</v>
      </c>
      <c r="D9" s="1"/>
    </row>
    <row r="10" spans="1:4" x14ac:dyDescent="0.25">
      <c r="A10" s="1"/>
      <c r="B10" s="52"/>
      <c r="C10" s="19"/>
      <c r="D10" s="1"/>
    </row>
    <row r="11" spans="1:4" ht="15" customHeight="1" x14ac:dyDescent="0.25">
      <c r="A11" s="1"/>
      <c r="B11" s="104" t="s">
        <v>159</v>
      </c>
      <c r="C11" s="105"/>
      <c r="D11" s="1"/>
    </row>
    <row r="12" spans="1:4" ht="13.5" customHeight="1" x14ac:dyDescent="0.25">
      <c r="A12" s="1"/>
      <c r="B12" s="106"/>
      <c r="C12" s="107"/>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DAxTa2L0PgQLjdV5GpHb5f0Dd5bh3WbF2J5oI2o41mY9k87KgeqIWmixStLZiefiSTYofoPNVSSkDT5d/8w5ow==" saltValue="KMp7n2IjjVWOtl3CJ9/eZQ=="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2024-09-03T13:34:04Z</dcterms:modified>
</cp:coreProperties>
</file>