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Egedal AS (V041)\ØR2024\"/>
    </mc:Choice>
  </mc:AlternateContent>
  <xr:revisionPtr revIDLastSave="0" documentId="13_ncr:1_{DE4278C2-A94B-4346-895C-9D8C09E0220A}" xr6:coauthVersionLast="36" xr6:coauthVersionMax="36" xr10:uidLastSave="{00000000-0000-0000-0000-000000000000}"/>
  <bookViews>
    <workbookView xWindow="3105" yWindow="990" windowWidth="12735" windowHeight="4620" tabRatio="872" activeTab="1"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iterate="1" iterateCount="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13" i="7" l="1"/>
  <c r="C12" i="10"/>
  <c r="E12" i="10"/>
  <c r="E24" i="2" l="1"/>
  <c r="E23" i="16" l="1"/>
  <c r="E27" i="16" s="1"/>
  <c r="E31" i="16" l="1"/>
  <c r="E9" i="2"/>
  <c r="E33" i="16" l="1"/>
  <c r="E17" i="5"/>
  <c r="E17" i="4"/>
  <c r="E17" i="3"/>
  <c r="E26" i="2"/>
  <c r="E15" i="4" l="1"/>
  <c r="E15" i="3"/>
  <c r="J11" i="9"/>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<sst xmlns="http://schemas.openxmlformats.org/spreadsheetml/2006/main" count="350" uniqueCount="154">
  <si>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</si>
  <si>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</si>
  <si>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</si>
  <si>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</si>
  <si>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</si>
  <si>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</si>
  <si>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</si>
  <si>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</si>
  <si>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</si>
  <si>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</si>
  <si>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</si>
  <si>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</si>
  <si>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</si>
  <si>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</si>
  <si>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</si>
  <si>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</si>
  <si>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</si>
  <si>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</si>
  <si>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</si>
  <si>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</si>
  <si>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</si>
  <si>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</si>
  <si>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</si>
  <si>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</si>
  <si>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</si>
  <si>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</si>
  <si>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</si>
  <si>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</si>
  <si>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</si>
  <si>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</si>
  <si>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</si>
  <si>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</si>
  <si>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</si>
  <si>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</si>
  <si>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</si>
  <si>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</si>
  <si>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</si>
  <si>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</si>
  <si>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</si>
  <si>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</si>
  <si>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</si>
  <si>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</si>
  <si>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</si>
  <si>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</si>
  <si>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</si>
  <si>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</si>
  <si>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</si>
  <si>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</si>
  <si>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</si>
  <si>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</si>
  <si>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</si>
  <si>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</si>
  <si>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</si>
  <si>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</si>
  <si>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</si>
  <si>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</si>
  <si>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</si>
  <si>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</si>
  <si>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</si>
  <si>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</si>
  <si>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</si>
  <si>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</si>
  <si>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</si>
  <si>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</si>
  <si>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</si>
  <si>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</si>
  <si>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</si>
  <si>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</si>
  <si>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</si>
  <si>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</si>
  <si>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</si>
  <si>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</si>
  <si>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</si>
  <si>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</si>
  <si>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</si>
  <si>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</si>
  <si>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</si>
  <si>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</si>
  <si>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</si>
  <si>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</si>
  <si>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</si>
  <si>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</si>
  <si>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</si>
  <si>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</si>
  <si>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</si>
  <si>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</si>
  <si>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</si>
  <si>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</si>
  <si>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</si>
  <si>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</si>
  <si>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</si>
  <si>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</si>
  <si>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</si>
  <si>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</si>
  <si>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</si>
  <si>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</si>
  <si>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</si>
  <si>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</si>
  <si>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</si>
  <si>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</si>
  <si>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</si>
  <si>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</si>
  <si>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</si>
  <si>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</si>
  <si>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</si>
  <si>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</si>
  <si>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</si>
  <si>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</si>
  <si>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</si>
  <si>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</si>
  <si>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</si>
  <si>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</si>
  <si>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</si>
  <si>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</si>
  <si>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</si>
  <si>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</si>
  <si>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</si>
  <si>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</si>
  <si>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</si>
  <si>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</si>
  <si>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</si>
  <si>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</si>
  <si>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</si>
  <si>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</si>
  <si>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</si>
  <si>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</si>
  <si>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</si>
  <si>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</si>
  <si>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</si>
  <si>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</si>
  <si>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</si>
  <si>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</si>
  <si>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</si>
  <si>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</si>
  <si>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</si>
  <si>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</si>
  <si>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</si>
  <si>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</si>
  <si>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Boliger Mosevej og enkelt stik etableringer</t>
  </si>
  <si>
    <t>Afgift for ledningsført vand</t>
  </si>
  <si>
    <t>Afgift til Forsyningssekretariatet</t>
  </si>
  <si>
    <t>Køb af ydelser og produkter fra andre vandselskaber reguleret af vandsektorloven</t>
  </si>
  <si>
    <t>Ingen engangstillæg</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</si>
  <si>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</si>
  <si>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</si>
  <si>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</si>
  <si>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</si>
  <si>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</si>
  <si>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</si>
  <si>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</si>
  <si>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</si>
  <si>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</si>
  <si>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</si>
  <si>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Fusion med Ny Seprrestrup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</si>
</sst>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7"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Normal="100" workbookViewId="0">
      <selection activeCell="D17" sqref="D17:G1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8.1406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128</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80</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26</v>
      </c>
      <c r="D15" s="84" t="s">
        <v>68</v>
      </c>
      <c r="E15" s="85"/>
      <c r="F15" s="85"/>
      <c r="G15" s="86"/>
      <c r="H15" s="1"/>
      <c r="I15" s="1"/>
    </row>
    <row r="16" spans="1:9" x14ac:dyDescent="0.25">
      <c r="A16" s="1"/>
      <c r="B16" s="1"/>
      <c r="C16" s="6" t="s">
        <v>27</v>
      </c>
      <c r="D16" s="84" t="s">
        <v>107</v>
      </c>
      <c r="E16" s="85"/>
      <c r="F16" s="85"/>
      <c r="G16" s="86"/>
      <c r="H16" s="1"/>
      <c r="I16" s="1"/>
    </row>
    <row r="17" spans="1:9" x14ac:dyDescent="0.25">
      <c r="A17" s="1"/>
      <c r="B17" s="1"/>
      <c r="C17" s="6" t="s">
        <v>45</v>
      </c>
      <c r="D17" s="84" t="s">
        <v>108</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78" t="s">
        <v>43</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XYwV+15Luc/qtLJXNFXJ3AH0/Pw0Dfio80lNzmlHjw7Tf4z9lsWAGqRQwywLNIcSZKN/UQzcRqZxCAazcUhx4Q==" saltValue="pE3ShZZC6nHjW8v45gYCr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70" t="s">
        <v>133</v>
      </c>
      <c r="C10" s="29">
        <v>0</v>
      </c>
      <c r="D10" s="8">
        <v>0</v>
      </c>
      <c r="E10" s="12" t="s">
        <v>3</v>
      </c>
      <c r="F10" s="8">
        <f>IFERROR(D10/C10,0)</f>
        <v>0</v>
      </c>
      <c r="G10" s="12" t="s">
        <v>3</v>
      </c>
      <c r="H10" s="8">
        <v>0</v>
      </c>
      <c r="I10" s="12" t="s">
        <v>3</v>
      </c>
      <c r="J10" s="8">
        <v>0</v>
      </c>
      <c r="K10" s="12" t="s">
        <v>3</v>
      </c>
      <c r="L10" s="1"/>
    </row>
    <row r="11" spans="1:12" x14ac:dyDescent="0.25">
      <c r="A11" s="1"/>
      <c r="B11" s="58" t="s">
        <v>77</v>
      </c>
      <c r="C11" s="59"/>
      <c r="D11" s="60"/>
      <c r="E11" s="60"/>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M7tnpiSo9nuYi1+zabd0SV8y/hDhlVMe4SSWy91ino19ysuxsjt2IIJxkTYTJ7K3wnay0nVlMVn1pAcIgBAmqQ==" saltValue="IrRsnbh9DxpmQ3GwZkfji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3" t="s">
        <v>30</v>
      </c>
      <c r="C8" s="22"/>
      <c r="D8" s="22"/>
      <c r="E8" s="22"/>
      <c r="F8" s="74"/>
      <c r="G8" s="1"/>
    </row>
    <row r="9" spans="1:7" ht="17.25" customHeight="1" x14ac:dyDescent="0.25">
      <c r="A9" s="1"/>
      <c r="B9" s="68" t="s">
        <v>15</v>
      </c>
      <c r="C9" s="68" t="s">
        <v>10</v>
      </c>
      <c r="D9" s="69"/>
      <c r="E9" s="68" t="s">
        <v>23</v>
      </c>
      <c r="F9" s="72"/>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138</v>
      </c>
      <c r="C11" s="19">
        <v>94169</v>
      </c>
      <c r="D11" s="12" t="s">
        <v>3</v>
      </c>
      <c r="E11" s="8">
        <v>23766</v>
      </c>
      <c r="F11" s="12" t="s">
        <v>3</v>
      </c>
      <c r="G11" s="1"/>
    </row>
    <row r="12" spans="1:7" x14ac:dyDescent="0.25">
      <c r="A12" s="1"/>
      <c r="B12" s="20" t="s">
        <v>153</v>
      </c>
      <c r="C12" s="19">
        <f>57681*0.5*(1+'Fane 11. Nøgletal'!C15)</f>
        <v>29867.221800000003</v>
      </c>
      <c r="D12" s="12" t="s">
        <v>3</v>
      </c>
      <c r="E12" s="8">
        <f>7570*0.5*(1+'Fane 11. Nøgletal'!C15)</f>
        <v>3919.7460000000001</v>
      </c>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3" t="s">
        <v>73</v>
      </c>
      <c r="C16" s="10">
        <f>SUM(C10:C15)</f>
        <v>124036.2218</v>
      </c>
      <c r="D16" s="11" t="s">
        <v>3</v>
      </c>
      <c r="E16" s="10">
        <f>SUM(E10:E15)</f>
        <v>27685.745999999999</v>
      </c>
      <c r="F16" s="11" t="s">
        <v>3</v>
      </c>
      <c r="G16" s="1"/>
    </row>
    <row r="17" spans="1:7" x14ac:dyDescent="0.25">
      <c r="A17" s="1"/>
      <c r="B17" s="73" t="s">
        <v>129</v>
      </c>
      <c r="C17" s="10">
        <f>C16*(1+'Fane 11. Nøgletal'!C16)</f>
        <v>134058.34852144</v>
      </c>
      <c r="D17" s="11" t="s">
        <v>3</v>
      </c>
      <c r="E17" s="10">
        <f>E16*(1+'Fane 11. Nøgletal'!C16)</f>
        <v>29922.754276799998</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U6PJLqb34G7lqCatYwolCws6ZosmDD681njPEgWZzP8E3KkPgJJtMyFi9uD5dNttxXuJSw/OHooapHzgwNXDTw==" saltValue="GoqZSsuBBn3u4+tUdHWLB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8" t="s">
        <v>15</v>
      </c>
      <c r="C8" s="68" t="s">
        <v>10</v>
      </c>
      <c r="D8" s="69"/>
      <c r="E8" s="68" t="s">
        <v>23</v>
      </c>
      <c r="F8" s="72"/>
      <c r="G8" s="1"/>
    </row>
    <row r="9" spans="1:7" x14ac:dyDescent="0.25">
      <c r="A9" s="1"/>
      <c r="B9" s="20" t="s">
        <v>142</v>
      </c>
      <c r="C9" s="19">
        <v>0</v>
      </c>
      <c r="D9" s="12" t="s">
        <v>3</v>
      </c>
      <c r="E9" s="19">
        <v>0</v>
      </c>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3" t="s">
        <v>130</v>
      </c>
      <c r="C14" s="10">
        <f>SUM(C9:C13)</f>
        <v>0</v>
      </c>
      <c r="D14" s="11" t="s">
        <v>3</v>
      </c>
      <c r="E14" s="10">
        <f>SUM(E9:E13)</f>
        <v>0</v>
      </c>
      <c r="F14" s="11" t="s">
        <v>3</v>
      </c>
      <c r="G14" s="1"/>
    </row>
    <row r="15" spans="1:7" x14ac:dyDescent="0.25">
      <c r="A15" s="1"/>
      <c r="B15" s="73"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Rtlfbls8jnviM+wlYDKE1VYR88L522Lia1ydTn7WZ3UcTbqZyDX902oJzZZ6kCAvzWSp06ZwBsN0KU2HiJpzxA==" saltValue="T4G1x0U1zt9ETg57uhqGnw=="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1" t="s">
        <v>54</v>
      </c>
      <c r="C9" s="122" t="s">
        <v>10</v>
      </c>
      <c r="D9" s="123"/>
      <c r="E9" s="122" t="s">
        <v>23</v>
      </c>
      <c r="F9" s="123"/>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eL0XDdegNyi7zAGfJw6FiIDJ4rFcOy0LFacVQA7ymIATBFoGFS0Acm3sSb1MDK9xf/YdAotli5m2XgM7GCdjBg==" saltValue="XtRyPL2ZDNMt64na3UIFd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7.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132</v>
      </c>
      <c r="C9" s="95"/>
      <c r="D9" s="95"/>
      <c r="E9" s="95"/>
      <c r="F9" s="96"/>
      <c r="G9" s="1"/>
    </row>
    <row r="10" spans="1:7" ht="26.25" x14ac:dyDescent="0.25">
      <c r="A10" s="1"/>
      <c r="B10" s="71" t="s">
        <v>16</v>
      </c>
      <c r="C10" s="71" t="s">
        <v>10</v>
      </c>
      <c r="D10" s="72"/>
      <c r="E10" s="71" t="s">
        <v>23</v>
      </c>
      <c r="F10" s="72"/>
      <c r="G10" s="1"/>
    </row>
    <row r="11" spans="1:7" x14ac:dyDescent="0.25">
      <c r="A11" s="1"/>
      <c r="B11" s="49" t="s">
        <v>137</v>
      </c>
      <c r="C11" s="8">
        <v>0</v>
      </c>
      <c r="D11" s="12" t="s">
        <v>3</v>
      </c>
      <c r="E11" s="8">
        <v>0</v>
      </c>
      <c r="F11" s="12" t="s">
        <v>3</v>
      </c>
      <c r="G11" s="1"/>
    </row>
    <row r="12" spans="1:7" x14ac:dyDescent="0.25">
      <c r="A12" s="1"/>
      <c r="B12" s="73" t="s">
        <v>36</v>
      </c>
      <c r="C12" s="10">
        <f>SUM(C11:C11)</f>
        <v>0</v>
      </c>
      <c r="D12" s="11" t="s">
        <v>3</v>
      </c>
      <c r="E12" s="10">
        <f>SUM(E11:E11)</f>
        <v>0</v>
      </c>
      <c r="F12" s="11" t="s">
        <v>3</v>
      </c>
      <c r="G12" s="1"/>
    </row>
    <row r="13" spans="1:7" x14ac:dyDescent="0.25">
      <c r="A13" s="1"/>
      <c r="B13" s="73"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NYz+uQpzKuXdOpxl1wpN3E2affUfyBoLnbIK1dwKR/3Y8WBqEbQyisdos9gIm6TCYPVFGx3y5EJDknbxxgQtg==" saltValue="Y2VGBA4CTrhBSZc8aXSmA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3" t="s">
        <v>13</v>
      </c>
      <c r="C8" s="74"/>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73"/>
      <c r="C17" s="74"/>
      <c r="D17" s="1"/>
    </row>
    <row r="18" spans="1:4" x14ac:dyDescent="0.25">
      <c r="A18" s="1"/>
      <c r="B18" s="1"/>
      <c r="C18" s="1"/>
      <c r="D18" s="1"/>
    </row>
    <row r="19" spans="1:4" x14ac:dyDescent="0.25">
      <c r="A19" s="1"/>
      <c r="B19" s="1"/>
      <c r="C19" s="1"/>
      <c r="D19" s="1"/>
    </row>
    <row r="20" spans="1:4" x14ac:dyDescent="0.25">
      <c r="A20" s="1"/>
      <c r="B20" s="73" t="s">
        <v>40</v>
      </c>
      <c r="C20" s="74"/>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peVjfXbz+FO7kPzjzIXgXtVWrMTzC6qqmKFTIfdHyhC5HKuyWZ+0ykdQUVTHOEk+cGA8IR6JF8sr7BdrOYS6YA==" saltValue="d2rmokMSkmvOaYJDWOusf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tabSelected="1" view="pageLayout" zoomScaleNormal="100" workbookViewId="0">
      <selection activeCell="B3" sqref="B3:F4"/>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9550925.6851341743</v>
      </c>
      <c r="F9" s="45" t="s">
        <v>3</v>
      </c>
      <c r="G9" s="1"/>
    </row>
    <row r="10" spans="1:7" ht="17.100000000000001" customHeight="1" x14ac:dyDescent="0.25">
      <c r="A10" s="1"/>
      <c r="B10" s="24" t="s">
        <v>46</v>
      </c>
      <c r="C10" s="45"/>
      <c r="D10" s="45"/>
      <c r="E10" s="7">
        <f>'Fane 8.1. Varige tillæg'!C17+'Fane 8.1. Varige tillæg'!E17</f>
        <v>163981.10279824</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353262.62749687437</v>
      </c>
      <c r="F13" s="45" t="s">
        <v>3</v>
      </c>
      <c r="G13" s="1"/>
    </row>
    <row r="14" spans="1:7" ht="17.100000000000001" customHeight="1" x14ac:dyDescent="0.25">
      <c r="A14" s="1"/>
      <c r="B14" s="24" t="s">
        <v>40</v>
      </c>
      <c r="C14" s="45"/>
      <c r="D14" s="45"/>
      <c r="E14" s="8">
        <f>-SUM(E9,E10:E13)*'Fane 11. Nøgletal'!C21</f>
        <v>-171158.88006229792</v>
      </c>
      <c r="F14" s="45" t="s">
        <v>3</v>
      </c>
      <c r="G14" s="1"/>
    </row>
    <row r="15" spans="1:7" ht="15" customHeight="1" x14ac:dyDescent="0.25">
      <c r="A15" s="1"/>
      <c r="B15" s="64" t="s">
        <v>19</v>
      </c>
      <c r="C15" s="28"/>
      <c r="D15" s="28"/>
      <c r="E15" s="9">
        <f>SUM(E9,E10:E14)</f>
        <v>9897010.5353669897</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5320957.2939772643</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4" t="s">
        <v>35</v>
      </c>
      <c r="C22" s="28"/>
      <c r="D22" s="28"/>
      <c r="E22" s="9">
        <f>SUM(E19:E21)</f>
        <v>0</v>
      </c>
      <c r="F22" s="47" t="s">
        <v>3</v>
      </c>
      <c r="G22" s="1"/>
    </row>
    <row r="23" spans="1:7" x14ac:dyDescent="0.25">
      <c r="A23" s="1"/>
      <c r="B23" s="46" t="s">
        <v>55</v>
      </c>
      <c r="C23" s="46"/>
      <c r="D23" s="46"/>
      <c r="E23" s="46"/>
      <c r="F23" s="46"/>
      <c r="G23" s="1"/>
    </row>
    <row r="24" spans="1:7" x14ac:dyDescent="0.25">
      <c r="A24" s="1"/>
      <c r="B24" s="64" t="s">
        <v>56</v>
      </c>
      <c r="C24" s="28"/>
      <c r="D24" s="28"/>
      <c r="E24" s="9">
        <f>'Fane 5. Kontrol af ØR2022'!E15</f>
        <v>-871627.67562354449</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14346340.15372071</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kbq+NZ+d2L1RLqN/LwykVjI37GtSnKMwyEoEKaHNsrN0Hb4Hr/vDX6meO8WErPEnNwIi/YOmSAX9ab7DB5WhZA==" saltValue="gF+wN5snCigGjBx3SaaMb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9897010.5353669897</v>
      </c>
      <c r="F8" s="45" t="s">
        <v>3</v>
      </c>
      <c r="G8" s="1"/>
    </row>
    <row r="9" spans="1:7" ht="15" customHeight="1" x14ac:dyDescent="0.25">
      <c r="A9" s="1"/>
      <c r="B9" s="27" t="s">
        <v>17</v>
      </c>
      <c r="C9" s="45"/>
      <c r="D9" s="45"/>
      <c r="E9" s="8">
        <f>SUM(E8:E8)*'Fane 11. Nøgletal'!C16</f>
        <v>799678.45125765272</v>
      </c>
      <c r="F9" s="45" t="s">
        <v>3</v>
      </c>
      <c r="G9" s="1"/>
    </row>
    <row r="10" spans="1:7" ht="15" customHeight="1" x14ac:dyDescent="0.25">
      <c r="A10" s="1"/>
      <c r="B10" s="27" t="s">
        <v>40</v>
      </c>
      <c r="C10" s="45"/>
      <c r="D10" s="45"/>
      <c r="E10" s="8">
        <f>-SUM(E8:E9)*'Fane 11. Nøgletal'!C21</f>
        <v>-181843.71277261895</v>
      </c>
      <c r="F10" s="45" t="s">
        <v>3</v>
      </c>
      <c r="G10" s="1"/>
    </row>
    <row r="11" spans="1:7" ht="15" customHeight="1" x14ac:dyDescent="0.25">
      <c r="A11" s="1"/>
      <c r="B11" s="28" t="s">
        <v>19</v>
      </c>
      <c r="C11" s="28"/>
      <c r="D11" s="28"/>
      <c r="E11" s="9">
        <f>SUM(E8:E10)</f>
        <v>10514845.273852024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5750890.6433306271</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ØR2022'!E33</f>
        <v>-441749.88308457006</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15823986.034098081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pTPgG6sgEJehK6V7a30zEMCUd28uXiO5E4QodF5e1rRpULDTfFoDtjEvdIpTP8dnfTYkJtvSafyBWJKN+q7Rg==" saltValue="TvnFeqoc8cL6vlKJPFGPf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10514845.273852024</v>
      </c>
      <c r="F8" s="45" t="s">
        <v>3</v>
      </c>
      <c r="G8" s="1"/>
    </row>
    <row r="9" spans="1:7" ht="15" customHeight="1" x14ac:dyDescent="0.25">
      <c r="A9" s="1"/>
      <c r="B9" s="27" t="s">
        <v>17</v>
      </c>
      <c r="C9" s="45"/>
      <c r="D9" s="45"/>
      <c r="E9" s="8">
        <f>SUM(E8:E8)*'Fane 11. Nøgletal'!C16</f>
        <v>849599.49812724348</v>
      </c>
      <c r="F9" s="45" t="s">
        <v>3</v>
      </c>
      <c r="G9" s="1"/>
    </row>
    <row r="10" spans="1:7" ht="15" customHeight="1" x14ac:dyDescent="0.25">
      <c r="A10" s="1"/>
      <c r="B10" s="27" t="s">
        <v>40</v>
      </c>
      <c r="C10" s="45"/>
      <c r="D10" s="45"/>
      <c r="E10" s="8">
        <f>-SUM(E8:E9)*'Fane 11. Nøgletal'!C21</f>
        <v>-193195.56112364758</v>
      </c>
      <c r="F10" s="45" t="s">
        <v>3</v>
      </c>
      <c r="G10" s="1"/>
    </row>
    <row r="11" spans="1:7" x14ac:dyDescent="0.25">
      <c r="A11" s="1"/>
      <c r="B11" s="28" t="s">
        <v>19</v>
      </c>
      <c r="C11" s="28"/>
      <c r="D11" s="28"/>
      <c r="E11" s="9">
        <f>SUM(E8:E10)</f>
        <v>11171249.210855622</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6215562.6073117414</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ØR2022'!E33</f>
        <v>-441749.88308457006</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16945061.935082793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p4t9rwyWEeazWnNUnziyzOyY3Gm+X1eSEeZxJ4ArFupwyQbB28FTs0kQc9HHuv2xgJxrDEZYrrTLJ9OQ5VmYw==" saltValue="/Jg6lq3AI+GIC9MRoUdw8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11171249.210855622</v>
      </c>
      <c r="F8" s="45" t="s">
        <v>3</v>
      </c>
      <c r="G8" s="1"/>
    </row>
    <row r="9" spans="1:7" ht="15" customHeight="1" x14ac:dyDescent="0.25">
      <c r="A9" s="1"/>
      <c r="B9" s="27" t="s">
        <v>17</v>
      </c>
      <c r="C9" s="45"/>
      <c r="D9" s="45"/>
      <c r="E9" s="8">
        <f>SUM(E8:E8)*'Fane 11. Nøgletal'!C16</f>
        <v>902636.93623713416</v>
      </c>
      <c r="F9" s="45" t="s">
        <v>3</v>
      </c>
      <c r="G9" s="1"/>
    </row>
    <row r="10" spans="1:7" ht="15" customHeight="1" x14ac:dyDescent="0.25">
      <c r="A10" s="1"/>
      <c r="B10" s="27" t="s">
        <v>40</v>
      </c>
      <c r="C10" s="45"/>
      <c r="D10" s="45"/>
      <c r="E10" s="8">
        <f>-SUM(E8:E9)*'Fane 11. Nøgletal'!C21</f>
        <v>-205256.06450057687</v>
      </c>
      <c r="F10" s="45" t="s">
        <v>3</v>
      </c>
      <c r="G10" s="1"/>
    </row>
    <row r="11" spans="1:7" x14ac:dyDescent="0.25">
      <c r="A11" s="1"/>
      <c r="B11" s="28" t="s">
        <v>19</v>
      </c>
      <c r="C11" s="28"/>
      <c r="D11" s="28"/>
      <c r="E11" s="9">
        <f>SUM(E8:E10)</f>
        <v>11868630.082592178</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6717780.0659825299</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18586410.14857471</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OToS8LqZ7Nv9F58zA/WdWqClH93tjRfHoEZjRnGes/DiFmW1IvhKTBuJeA6nu4Lu+gCXWjGfTGG3ey94p+esA==" saltValue="B8Wx0jAoGYGqN2QwqWZQd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election activeCell="B3" sqref="B3:F4"/>
    </sheetView>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9111601.635481311</v>
      </c>
      <c r="F9" s="45" t="s">
        <v>3</v>
      </c>
      <c r="G9" s="1"/>
    </row>
    <row r="10" spans="1:7" x14ac:dyDescent="0.25">
      <c r="A10" s="1"/>
      <c r="B10" s="24" t="s">
        <v>46</v>
      </c>
      <c r="C10" s="45"/>
      <c r="D10" s="45"/>
      <c r="E10" s="7">
        <v>270495.09539999999</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334002.64361937466</v>
      </c>
      <c r="F13" s="45" t="s">
        <v>3</v>
      </c>
      <c r="G13" s="1"/>
    </row>
    <row r="14" spans="1:7" x14ac:dyDescent="0.25">
      <c r="A14" s="1"/>
      <c r="B14" s="24" t="s">
        <v>40</v>
      </c>
      <c r="C14" s="45"/>
      <c r="D14" s="45"/>
      <c r="E14" s="8">
        <v>-165173.68936651168</v>
      </c>
      <c r="F14" s="45" t="s">
        <v>3</v>
      </c>
      <c r="G14" s="1"/>
    </row>
    <row r="15" spans="1:7" x14ac:dyDescent="0.25">
      <c r="A15" s="1"/>
      <c r="B15" s="64" t="s">
        <v>19</v>
      </c>
      <c r="C15" s="28"/>
      <c r="D15" s="28"/>
      <c r="E15" s="9">
        <v>9550925.6851341743</v>
      </c>
      <c r="F15" s="47" t="s">
        <v>3</v>
      </c>
      <c r="G15" s="1"/>
    </row>
    <row r="16" spans="1:7" x14ac:dyDescent="0.25">
      <c r="A16" s="1"/>
      <c r="B16" s="46" t="s">
        <v>11</v>
      </c>
      <c r="C16" s="46"/>
      <c r="D16" s="46"/>
      <c r="E16" s="46"/>
      <c r="F16" s="46"/>
      <c r="G16" s="1"/>
    </row>
    <row r="17" spans="1:7" x14ac:dyDescent="0.25">
      <c r="A17" s="1"/>
      <c r="B17" s="47" t="s">
        <v>11</v>
      </c>
      <c r="C17" s="47"/>
      <c r="D17" s="47"/>
      <c r="E17" s="9">
        <v>4683088.5250766408</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4" t="s">
        <v>35</v>
      </c>
      <c r="C22" s="28"/>
      <c r="D22" s="28"/>
      <c r="E22" s="9">
        <v>0</v>
      </c>
      <c r="F22" s="47" t="s">
        <v>3</v>
      </c>
      <c r="G22" s="1"/>
    </row>
    <row r="23" spans="1:7" x14ac:dyDescent="0.25">
      <c r="A23" s="1"/>
      <c r="B23" s="46" t="s">
        <v>55</v>
      </c>
      <c r="C23" s="46"/>
      <c r="D23" s="46"/>
      <c r="E23" s="46"/>
      <c r="F23" s="46"/>
      <c r="G23" s="1"/>
    </row>
    <row r="24" spans="1:7" x14ac:dyDescent="0.25">
      <c r="A24" s="1"/>
      <c r="B24" s="64" t="s">
        <v>56</v>
      </c>
      <c r="C24" s="48"/>
      <c r="D24" s="48"/>
      <c r="E24" s="9">
        <v>-871627.67562354449</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13362386.534587272</v>
      </c>
      <c r="F27" s="11" t="s">
        <v>3</v>
      </c>
      <c r="G27" s="1"/>
    </row>
    <row r="28" spans="1:7" ht="30" customHeight="1" x14ac:dyDescent="0.25">
      <c r="A28" s="1"/>
      <c r="B28" s="93" t="s">
        <v>135</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SfQBdCCECCiV3PyYLbgEgshmclOtTo2H0Ox3tlbf1mS5TH0j+c46S8QnFHTiqseJSwWLrhYn+UO7gH2A1cBQEA==" saltValue="pFQsmLCSJhk0VqNOp1sWR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election activeCell="B3" sqref="B3:D4"/>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7" t="s">
        <v>120</v>
      </c>
      <c r="D9" s="47"/>
      <c r="E9" s="1"/>
      <c r="F9" s="1"/>
    </row>
    <row r="10" spans="1:6" ht="15" customHeight="1" x14ac:dyDescent="0.25">
      <c r="A10" s="1"/>
      <c r="B10" s="23" t="s">
        <v>139</v>
      </c>
      <c r="C10" s="8">
        <v>4516364</v>
      </c>
      <c r="D10" s="12" t="s">
        <v>3</v>
      </c>
      <c r="E10" s="1"/>
      <c r="F10" s="1"/>
    </row>
    <row r="11" spans="1:6" x14ac:dyDescent="0.25">
      <c r="A11" s="1"/>
      <c r="B11" s="23" t="s">
        <v>140</v>
      </c>
      <c r="C11" s="8">
        <v>18407</v>
      </c>
      <c r="D11" s="12" t="s">
        <v>3</v>
      </c>
      <c r="E11" s="1"/>
      <c r="F11" s="1"/>
    </row>
    <row r="12" spans="1:6" ht="26.25" x14ac:dyDescent="0.25">
      <c r="A12" s="1"/>
      <c r="B12" s="50" t="s">
        <v>141</v>
      </c>
      <c r="C12" s="8">
        <v>13929</v>
      </c>
      <c r="D12" s="12" t="s">
        <v>3</v>
      </c>
      <c r="E12" s="1"/>
      <c r="F12" s="1"/>
    </row>
    <row r="13" spans="1:6" x14ac:dyDescent="0.25">
      <c r="A13" s="1"/>
      <c r="B13" s="20" t="s">
        <v>153</v>
      </c>
      <c r="C13" s="8">
        <f>12384*0.5*(1+'Fane 11. Nøgletal'!C15)</f>
        <v>6412.4352000000008</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3" t="s">
        <v>121</v>
      </c>
      <c r="C18" s="10">
        <f>SUM(C10:C17)</f>
        <v>4555112.4352000002</v>
      </c>
      <c r="D18" s="11" t="s">
        <v>3</v>
      </c>
      <c r="E18" s="1"/>
      <c r="F18" s="1"/>
    </row>
    <row r="19" spans="1:6" x14ac:dyDescent="0.25">
      <c r="A19" s="1"/>
      <c r="B19" s="73" t="s">
        <v>122</v>
      </c>
      <c r="C19" s="10">
        <f>C18*(1+'Fane 11. Nøgletal'!C16)^2</f>
        <v>5320957.2939772643</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oiwG3tjOLNeMl5KqropWCWLPb1p1AGeRKMvNPTgApVkV4xPQPoIenJkHtDzAofHVagxqbVqZSaFG1tHtTyR7ow==" saltValue="M6Qksgm8fAf9xToVnmIkS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1"/>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123</v>
      </c>
      <c r="C3" s="92"/>
      <c r="D3" s="92"/>
      <c r="E3" s="92"/>
      <c r="F3" s="92"/>
      <c r="G3" s="1"/>
    </row>
    <row r="4" spans="1:7" ht="15" customHeight="1" x14ac:dyDescent="0.25">
      <c r="A4" s="1"/>
      <c r="B4" s="92"/>
      <c r="C4" s="92"/>
      <c r="D4" s="92"/>
      <c r="E4" s="92"/>
      <c r="F4" s="92"/>
      <c r="G4" s="1"/>
    </row>
    <row r="5" spans="1:7" ht="15" customHeight="1" x14ac:dyDescent="0.25">
      <c r="A5" s="1"/>
      <c r="B5" s="57"/>
      <c r="C5" s="57"/>
      <c r="D5" s="57"/>
      <c r="E5" s="57"/>
      <c r="F5" s="57"/>
      <c r="G5" s="1"/>
    </row>
    <row r="6" spans="1:7" ht="15" customHeight="1" x14ac:dyDescent="0.25">
      <c r="A6" s="1"/>
      <c r="B6" s="1"/>
      <c r="C6" s="53"/>
      <c r="D6" s="54"/>
      <c r="E6" s="57"/>
      <c r="F6" s="57"/>
      <c r="G6" s="1"/>
    </row>
    <row r="7" spans="1:7" x14ac:dyDescent="0.25">
      <c r="A7" s="1"/>
      <c r="B7" s="1"/>
      <c r="C7" s="1"/>
      <c r="D7" s="1"/>
      <c r="E7" s="55"/>
      <c r="F7" s="1"/>
      <c r="G7" s="1"/>
    </row>
    <row r="8" spans="1:7" x14ac:dyDescent="0.25">
      <c r="A8" s="1"/>
      <c r="B8" s="94" t="s">
        <v>62</v>
      </c>
      <c r="C8" s="95"/>
      <c r="D8" s="95"/>
      <c r="E8" s="95"/>
      <c r="F8" s="96"/>
      <c r="G8" s="1"/>
    </row>
    <row r="9" spans="1:7" x14ac:dyDescent="0.25">
      <c r="A9" s="1"/>
      <c r="B9" s="97" t="s">
        <v>143</v>
      </c>
      <c r="C9" s="98"/>
      <c r="D9" s="99"/>
      <c r="E9" s="56">
        <v>-1626308.0736226793</v>
      </c>
      <c r="F9" s="12" t="s">
        <v>3</v>
      </c>
      <c r="G9" s="1"/>
    </row>
    <row r="10" spans="1:7" x14ac:dyDescent="0.25">
      <c r="A10" s="1"/>
      <c r="B10" s="73"/>
      <c r="C10" s="22"/>
      <c r="D10" s="22"/>
      <c r="E10" s="22"/>
      <c r="F10" s="74"/>
      <c r="G10" s="1"/>
    </row>
    <row r="11" spans="1:7" ht="54" customHeight="1" x14ac:dyDescent="0.25">
      <c r="A11" s="1"/>
      <c r="B11" s="100" t="s">
        <v>144</v>
      </c>
      <c r="C11" s="101"/>
      <c r="D11" s="101"/>
      <c r="E11" s="101"/>
      <c r="F11" s="102"/>
      <c r="G11" s="1"/>
    </row>
    <row r="12" spans="1:7" ht="27" customHeight="1" x14ac:dyDescent="0.25">
      <c r="A12" s="1"/>
      <c r="B12" s="1"/>
      <c r="C12" s="1"/>
      <c r="D12" s="1"/>
      <c r="E12" s="1"/>
      <c r="F12" s="1"/>
      <c r="G12" s="1"/>
    </row>
    <row r="13" spans="1:7" x14ac:dyDescent="0.25">
      <c r="A13" s="1"/>
      <c r="B13" s="94" t="s">
        <v>63</v>
      </c>
      <c r="C13" s="95"/>
      <c r="D13" s="95"/>
      <c r="E13" s="95"/>
      <c r="F13" s="96"/>
      <c r="G13" s="1"/>
    </row>
    <row r="14" spans="1:7" x14ac:dyDescent="0.25">
      <c r="A14" s="1"/>
      <c r="B14" s="97" t="s">
        <v>71</v>
      </c>
      <c r="C14" s="98"/>
      <c r="D14" s="99"/>
      <c r="E14" s="8">
        <v>-871627.67562354449</v>
      </c>
      <c r="F14" s="12" t="s">
        <v>3</v>
      </c>
      <c r="G14" s="1"/>
    </row>
    <row r="15" spans="1:7" x14ac:dyDescent="0.25">
      <c r="A15" s="1"/>
      <c r="B15" s="97" t="s">
        <v>105</v>
      </c>
      <c r="C15" s="98"/>
      <c r="D15" s="99"/>
      <c r="E15" s="8">
        <v>-871627.67562354449</v>
      </c>
      <c r="F15" s="12" t="s">
        <v>3</v>
      </c>
      <c r="G15" s="1"/>
    </row>
    <row r="16" spans="1:7" x14ac:dyDescent="0.25">
      <c r="A16" s="1"/>
      <c r="B16" s="73"/>
      <c r="C16" s="22"/>
      <c r="D16" s="22"/>
      <c r="E16" s="22"/>
      <c r="F16" s="74"/>
      <c r="G16" s="1"/>
    </row>
    <row r="17" spans="1:7" ht="30" customHeight="1" x14ac:dyDescent="0.25">
      <c r="A17" s="1"/>
      <c r="B17" s="100" t="s">
        <v>145</v>
      </c>
      <c r="C17" s="101"/>
      <c r="D17" s="101"/>
      <c r="E17" s="101"/>
      <c r="F17" s="102"/>
      <c r="G17" s="1"/>
    </row>
    <row r="18" spans="1:7" x14ac:dyDescent="0.25">
      <c r="A18" s="1"/>
      <c r="B18" s="1"/>
      <c r="C18" s="1"/>
      <c r="D18" s="1"/>
      <c r="E18" s="1"/>
      <c r="F18" s="1"/>
      <c r="G18" s="1"/>
    </row>
    <row r="19" spans="1:7" x14ac:dyDescent="0.25">
      <c r="A19" s="1"/>
      <c r="B19" s="58" t="s">
        <v>146</v>
      </c>
      <c r="C19" s="59"/>
      <c r="D19" s="59"/>
      <c r="E19" s="59"/>
      <c r="F19" s="60"/>
      <c r="G19" s="1"/>
    </row>
    <row r="20" spans="1:7" x14ac:dyDescent="0.25">
      <c r="A20" s="1"/>
      <c r="B20" s="61" t="s">
        <v>147</v>
      </c>
      <c r="C20" s="62"/>
      <c r="D20" s="63"/>
      <c r="E20" s="8">
        <v>12818222.23383086</v>
      </c>
      <c r="F20" s="12" t="s">
        <v>3</v>
      </c>
      <c r="G20" s="1"/>
    </row>
    <row r="21" spans="1:7" x14ac:dyDescent="0.25">
      <c r="A21" s="1"/>
      <c r="B21" s="61" t="s">
        <v>148</v>
      </c>
      <c r="C21" s="62"/>
      <c r="D21" s="63"/>
      <c r="E21" s="8">
        <v>13701722</v>
      </c>
      <c r="F21" s="12" t="s">
        <v>3</v>
      </c>
      <c r="G21" s="1"/>
    </row>
    <row r="22" spans="1:7" x14ac:dyDescent="0.25">
      <c r="A22" s="1"/>
      <c r="B22" s="61" t="s">
        <v>25</v>
      </c>
      <c r="C22" s="62"/>
      <c r="D22" s="63"/>
      <c r="E22" s="8">
        <v>0</v>
      </c>
      <c r="F22" s="12" t="s">
        <v>3</v>
      </c>
      <c r="G22" s="1"/>
    </row>
    <row r="23" spans="1:7" x14ac:dyDescent="0.25">
      <c r="A23" s="1"/>
      <c r="B23" s="65" t="s">
        <v>149</v>
      </c>
      <c r="C23" s="66"/>
      <c r="D23" s="67"/>
      <c r="E23" s="9">
        <f>E20-(E21-E22)</f>
        <v>-883499.76616914012</v>
      </c>
      <c r="F23" s="15" t="s">
        <v>3</v>
      </c>
      <c r="G23" s="1"/>
    </row>
    <row r="24" spans="1:7" x14ac:dyDescent="0.25">
      <c r="A24" s="1"/>
      <c r="B24" s="73"/>
      <c r="C24" s="22"/>
      <c r="D24" s="22"/>
      <c r="E24" s="22"/>
      <c r="F24" s="74"/>
      <c r="G24" s="1"/>
    </row>
    <row r="25" spans="1:7" ht="15" customHeight="1" x14ac:dyDescent="0.25">
      <c r="A25" s="1"/>
      <c r="B25" s="1"/>
      <c r="C25" s="1"/>
      <c r="D25" s="1"/>
      <c r="E25" s="1"/>
      <c r="F25" s="1"/>
      <c r="G25" s="1"/>
    </row>
    <row r="26" spans="1:7" x14ac:dyDescent="0.25">
      <c r="A26" s="1"/>
      <c r="B26" s="94" t="s">
        <v>150</v>
      </c>
      <c r="C26" s="95"/>
      <c r="D26" s="95"/>
      <c r="E26" s="95"/>
      <c r="F26" s="96"/>
      <c r="G26" s="1"/>
    </row>
    <row r="27" spans="1:7" x14ac:dyDescent="0.25">
      <c r="A27" s="1"/>
      <c r="B27" s="110" t="s">
        <v>151</v>
      </c>
      <c r="C27" s="111"/>
      <c r="D27" s="112"/>
      <c r="E27" s="51">
        <f>IF(AND(E15&lt;0,E23&gt;0,ABS(SUM(E14:E15))&lt;E23),ABS(E14),IF(AND(E15&lt;0,E23&gt;0,ABS(SUM(E14:E15))&gt;E23),SUM(E14,E23),0))</f>
        <v>0</v>
      </c>
      <c r="F27" s="15" t="s">
        <v>3</v>
      </c>
      <c r="G27" s="53"/>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152</v>
      </c>
      <c r="C30" s="95"/>
      <c r="D30" s="95"/>
      <c r="E30" s="95"/>
      <c r="F30" s="96"/>
      <c r="G30" s="1"/>
    </row>
    <row r="31" spans="1:7" x14ac:dyDescent="0.25">
      <c r="A31" s="1"/>
      <c r="B31" s="103" t="s">
        <v>55</v>
      </c>
      <c r="C31" s="104"/>
      <c r="D31" s="105"/>
      <c r="E31" s="52">
        <f>IF(AND(E9&gt;0,(E9+E23)&gt;0),0,IF(AND(E9&gt;0,(E9+E23)&lt;0),(E9+E23),IF(AND(E9&lt;0,E23&lt;0),E23,0)))</f>
        <v>-883499.76616914012</v>
      </c>
      <c r="F31" s="12" t="s">
        <v>3</v>
      </c>
      <c r="G31" s="1"/>
    </row>
    <row r="32" spans="1:7" x14ac:dyDescent="0.25">
      <c r="A32" s="1"/>
      <c r="B32" s="103" t="s">
        <v>41</v>
      </c>
      <c r="C32" s="104"/>
      <c r="D32" s="105"/>
      <c r="E32" s="8">
        <v>2</v>
      </c>
      <c r="F32" s="12" t="s">
        <v>18</v>
      </c>
      <c r="G32" s="1"/>
    </row>
    <row r="33" spans="1:7" x14ac:dyDescent="0.25">
      <c r="A33" s="1"/>
      <c r="B33" s="106" t="s">
        <v>64</v>
      </c>
      <c r="C33" s="106"/>
      <c r="D33" s="106"/>
      <c r="E33" s="51">
        <f>E31/E32</f>
        <v>-441749.88308457006</v>
      </c>
      <c r="F33" s="15" t="s">
        <v>3</v>
      </c>
      <c r="G33" s="1"/>
    </row>
    <row r="34" spans="1:7" x14ac:dyDescent="0.25">
      <c r="A34" s="1"/>
      <c r="B34" s="107"/>
      <c r="C34" s="108"/>
      <c r="D34" s="108"/>
      <c r="E34" s="108"/>
      <c r="F34" s="10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B50" s="30"/>
      <c r="C50" s="30"/>
      <c r="D50" s="30"/>
      <c r="E50" s="30"/>
      <c r="F50" s="30"/>
      <c r="G50" s="30"/>
    </row>
    <row r="51" spans="1:7" x14ac:dyDescent="0.25">
      <c r="A51" s="30"/>
      <c r="G51" s="30"/>
    </row>
  </sheetData>
  <sheetProtection algorithmName="SHA-512" hashValue="/BiHEuG5VdtRO88+TIBWLy4YE55NEviuEDg7qefP6jUNf1wZGUp9wyrOKZz3t8hpYJfxjPjLBGNePtLjJ2Rh3g==" saltValue="zVHg/ftFrFi4coKKYwL5jw=="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0mFLlssOCkuZ1tyPR3eM7mcxNL6vz1qBKXn2nv4i3m0eBPhBW0e4HZEWKLijSrkCixGuFrsjWGUHKabgzlxf1Q==" saltValue="s6951YLMJ3Y+B2UQuu+ne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Mads Frandsen</cp:lastModifiedBy>
  <cp:lastPrinted>2016-06-14T12:57:30Z</cp:lastPrinted>
  <dcterms:created xsi:type="dcterms:W3CDTF">2016-06-02T08:51:18Z</dcterms:created>
  <dcterms:modified xsi:type="dcterms:W3CDTF">2024-01-15T08:18:29Z</dcterms:modified>
</cp:coreProperties>
</file>