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Aarhus Vand AS (S110)\ØR2024\"/>
    </mc:Choice>
  </mc:AlternateContent>
  <xr:revisionPtr revIDLastSave="0" documentId="13_ncr:1_{7EB67EAA-D166-4970-9A31-AF3EEFEF4253}"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C20" i="15" l="1"/>
  <c r="C32" i="2"/>
  <c r="E16" i="44" l="1"/>
  <c r="E18" i="44" s="1"/>
  <c r="E17" i="44"/>
  <c r="E25" i="44" l="1"/>
  <c r="E29" i="44" s="1"/>
  <c r="E31" i="44" s="1"/>
  <c r="C9" i="2"/>
  <c r="E30" i="20" l="1"/>
  <c r="E29" i="20"/>
  <c r="E31" i="20" s="1"/>
  <c r="E24" i="20"/>
  <c r="E23" i="20"/>
  <c r="E25" i="20" s="1"/>
  <c r="G18" i="41" l="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C19" i="2" s="1"/>
  <c r="G52" i="30" l="1"/>
  <c r="G54" i="30" s="1"/>
  <c r="G58" i="30" s="1"/>
  <c r="G59" i="36"/>
  <c r="C13" i="15" s="1"/>
  <c r="C16" i="2"/>
  <c r="C17" i="2" s="1"/>
  <c r="C18" i="2" l="1"/>
  <c r="C20" i="2" s="1"/>
  <c r="G64" i="36"/>
  <c r="C13" i="22" s="1"/>
  <c r="G69" i="36" l="1"/>
  <c r="C13" i="23" s="1"/>
  <c r="G59" i="30"/>
  <c r="G63" i="30" s="1"/>
  <c r="G64" i="30" l="1"/>
  <c r="G68" i="30" s="1"/>
  <c r="C12" i="15"/>
  <c r="C37" i="2"/>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<sst xmlns="http://schemas.openxmlformats.org/spreadsheetml/2006/main" count="660" uniqueCount="295">
  <si>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</si>
  <si>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</si>
  <si>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</si>
  <si>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</si>
  <si>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</si>
  <si>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</si>
  <si>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</si>
  <si>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</si>
  <si>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</si>
  <si>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</si>
  <si>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</si>
  <si>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</si>
  <si>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</si>
  <si>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</si>
  <si>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</si>
  <si>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</si>
  <si>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</si>
  <si>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</si>
  <si>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</si>
  <si>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</si>
  <si>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</si>
  <si>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</si>
  <si>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</si>
  <si>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</si>
  <si>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</si>
  <si>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</si>
  <si>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</si>
  <si>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</si>
  <si>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</si>
  <si>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</si>
  <si>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</si>
  <si>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</si>
  <si>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</si>
  <si>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</si>
  <si>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</si>
  <si>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</si>
  <si>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</si>
  <si>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</si>
  <si>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</si>
  <si>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</si>
  <si>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</si>
  <si>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</si>
  <si>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</si>
  <si>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</si>
  <si>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</si>
  <si>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</si>
  <si>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</si>
  <si>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</si>
  <si>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</si>
  <si>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</si>
  <si>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</si>
  <si>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</si>
  <si>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</si>
  <si>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</si>
  <si>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</si>
  <si>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</si>
  <si>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</si>
  <si>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</si>
  <si>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</si>
  <si>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</si>
  <si>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</si>
  <si>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</si>
  <si>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</si>
  <si>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</si>
  <si>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</si>
  <si>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</si>
  <si>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</si>
  <si>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</si>
  <si>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</si>
  <si>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</si>
  <si>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</si>
  <si>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</si>
  <si>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</si>
  <si>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</si>
  <si>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</si>
  <si>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</si>
  <si>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</si>
  <si>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</si>
  <si>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</si>
  <si>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</si>
  <si>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</si>
  <si>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</si>
  <si>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</si>
  <si>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</si>
  <si>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</si>
  <si>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</si>
  <si>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</si>
  <si>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</si>
  <si>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</si>
  <si>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</si>
  <si>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</si>
  <si>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</si>
  <si>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</si>
  <si>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</si>
  <si>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</si>
  <si>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</si>
  <si>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</si>
  <si>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</si>
  <si>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</si>
  <si>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</si>
  <si>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</si>
  <si>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</si>
  <si>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</si>
  <si>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</si>
  <si>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</si>
  <si>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</si>
  <si>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</si>
  <si>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</si>
  <si>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</si>
  <si>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</si>
  <si>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</si>
  <si>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</si>
  <si>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</si>
  <si>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</si>
  <si>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</si>
  <si>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</si>
  <si>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</si>
  <si>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</si>
  <si>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</si>
  <si>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</si>
  <si>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</si>
  <si>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</si>
  <si>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</si>
  <si>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</si>
  <si>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</si>
  <si>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</si>
  <si>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</si>
  <si>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</si>
  <si>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</si>
  <si>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</si>
  <si>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</si>
  <si>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</si>
  <si>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</si>
  <si>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</si>
  <si>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</si>
  <si>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</si>
  <si>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</si>
  <si>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</si>
  <si>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</si>
  <si>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</si>
  <si>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</si>
  <si>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</si>
  <si>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</si>
  <si>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</si>
  <si>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</si>
  <si>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</si>
  <si>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</si>
  <si>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</si>
  <si>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</si>
  <si>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</si>
  <si>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</si>
  <si>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</si>
  <si>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</si>
  <si>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</si>
  <si>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</si>
  <si>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</si>
  <si>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</si>
  <si>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</si>
  <si>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</si>
  <si>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</si>
  <si>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</si>
  <si>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</si>
  <si>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</si>
  <si>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</si>
  <si>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</si>
  <si>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</si>
  <si>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</si>
  <si>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</si>
  <si>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</si>
  <si>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</si>
  <si>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</si>
  <si>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</si>
  <si>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</si>
  <si>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</si>
  <si>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</si>
  <si>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</si>
  <si>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</si>
  <si>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</si>
  <si>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</si>
  <si>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</si>
  <si>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</si>
  <si>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</si>
  <si>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</si>
  <si>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</si>
  <si>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</si>
  <si>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</si>
  <si>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</si>
  <si>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</si>
  <si>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</si>
  <si>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</si>
  <si>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</si>
  <si>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</si>
  <si>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</si>
  <si>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</si>
  <si>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</si>
  <si>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</si>
  <si>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</si>
  <si>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</si>
  <si>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</si>
  <si>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</si>
  <si>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</si>
  <si>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</si>
  <si>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</si>
  <si>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</si>
  <si>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</si>
  <si>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</si>
  <si>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</si>
  <si>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</si>
  <si>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</si>
  <si>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</si>
  <si>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</si>
  <si>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</si>
  <si>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</si>
  <si>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</si>
  <si>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</si>
  <si>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</si>
  <si>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</si>
  <si>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</si>
  <si>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</si>
  <si>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</si>
  <si>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</si>
  <si>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</si>
  <si>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</si>
  <si>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</si>
  <si>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</si>
  <si>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</si>
  <si>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</si>
  <si>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</si>
  <si>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</si>
  <si>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</si>
  <si>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</si>
  <si>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</si>
  <si>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</si>
  <si>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</si>
  <si>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</si>
  <si>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</si>
  <si>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</si>
  <si>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</si>
  <si>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</si>
  <si>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</si>
  <si>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</si>
  <si>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</si>
  <si>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</si>
  <si>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</si>
  <si>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</si>
  <si>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</si>
  <si>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</si>
  <si>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</si>
  <si>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</si>
  <si>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</si>
  <si>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</si>
  <si>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</si>
  <si>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</si>
  <si>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</si>
  <si>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</si>
  <si>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</si>
  <si>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</si>
  <si>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</si>
  <si>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</si>
  <si>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</si>
  <si>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</si>
  <si>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</si>
  <si>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</si>
  <si>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</si>
  <si>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</si>
  <si>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</si>
  <si>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</si>
  <si>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</si>
  <si>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</si>
  <si>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</si>
  <si>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</si>
  <si>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</si>
  <si>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</si>
  <si>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</si>
  <si>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</si>
  <si>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</si>
  <si>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</si>
  <si>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</si>
  <si>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</si>
  <si>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</si>
  <si>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</si>
  <si>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</si>
  <si>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</si>
  <si>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</si>
  <si>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Spildevandsafgift</t>
  </si>
  <si>
    <t>Afgift til Forsyningssekretariatet</t>
  </si>
  <si>
    <t>Køb af ydelser og produkter fra andre vandselskaber</t>
  </si>
  <si>
    <t>Ejendomsskat</t>
  </si>
  <si>
    <t>Tjenestemandspensioner</t>
  </si>
  <si>
    <t>Erstatninger</t>
  </si>
  <si>
    <t>Adskillelse, 2022</t>
  </si>
  <si>
    <t>Omlægninger, 2022</t>
  </si>
  <si>
    <t>Udvidelse, 2022</t>
  </si>
  <si>
    <t>Klimaaftale, 2022</t>
  </si>
  <si>
    <t>Oprensning af bassiner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</si>
</sst>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1" t="s">
        <v>4</v>
      </c>
      <c r="E6" s="91"/>
      <c r="F6" s="91"/>
      <c r="G6" s="91"/>
      <c r="H6" s="3"/>
      <c r="I6" s="1"/>
    </row>
    <row r="7" spans="1:9" ht="15" customHeight="1" x14ac:dyDescent="0.25">
      <c r="A7" s="1"/>
      <c r="B7" s="1"/>
      <c r="C7" s="3"/>
      <c r="D7" s="91"/>
      <c r="E7" s="91"/>
      <c r="F7" s="91"/>
      <c r="G7" s="91"/>
      <c r="H7" s="3"/>
      <c r="I7" s="1"/>
    </row>
    <row r="8" spans="1:9" ht="15.75" x14ac:dyDescent="0.25">
      <c r="A8" s="1"/>
      <c r="B8" s="1"/>
      <c r="C8" s="4"/>
      <c r="D8" s="99" t="s">
        <v>252</v>
      </c>
      <c r="E8" s="99"/>
      <c r="F8" s="99"/>
      <c r="G8" s="99"/>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8" t="s">
        <v>5</v>
      </c>
      <c r="E11" s="98"/>
      <c r="F11" s="98"/>
      <c r="G11" s="98"/>
      <c r="H11" s="5"/>
      <c r="I11" s="1"/>
    </row>
    <row r="12" spans="1:9" x14ac:dyDescent="0.25">
      <c r="A12" s="1"/>
      <c r="B12" s="1"/>
      <c r="C12" s="1"/>
      <c r="D12" s="1"/>
      <c r="E12" s="1"/>
      <c r="F12" s="1"/>
      <c r="G12" s="1"/>
      <c r="H12" s="5"/>
      <c r="I12" s="1"/>
    </row>
    <row r="13" spans="1:9" x14ac:dyDescent="0.25">
      <c r="A13" s="1"/>
      <c r="B13" s="1"/>
      <c r="C13" s="6" t="s">
        <v>6</v>
      </c>
      <c r="D13" s="103" t="s">
        <v>196</v>
      </c>
      <c r="E13" s="104"/>
      <c r="F13" s="104"/>
      <c r="G13" s="105"/>
      <c r="H13" s="5"/>
      <c r="I13" s="1"/>
    </row>
    <row r="14" spans="1:9" x14ac:dyDescent="0.25">
      <c r="A14" s="1"/>
      <c r="B14" s="1"/>
      <c r="C14" s="6" t="s">
        <v>16</v>
      </c>
      <c r="D14" s="88" t="s">
        <v>197</v>
      </c>
      <c r="E14" s="89"/>
      <c r="F14" s="89"/>
      <c r="G14" s="90"/>
      <c r="H14" s="5"/>
      <c r="I14" s="1"/>
    </row>
    <row r="15" spans="1:9" x14ac:dyDescent="0.25">
      <c r="A15" s="1"/>
      <c r="B15" s="1"/>
      <c r="C15" s="6" t="s">
        <v>31</v>
      </c>
      <c r="D15" s="88" t="s">
        <v>262</v>
      </c>
      <c r="E15" s="89"/>
      <c r="F15" s="89"/>
      <c r="G15" s="90"/>
      <c r="H15" s="5"/>
      <c r="I15" s="1"/>
    </row>
    <row r="16" spans="1:9" x14ac:dyDescent="0.25">
      <c r="A16" s="1"/>
      <c r="B16" s="1"/>
      <c r="C16" s="6" t="s">
        <v>32</v>
      </c>
      <c r="D16" s="88" t="s">
        <v>263</v>
      </c>
      <c r="E16" s="89"/>
      <c r="F16" s="89"/>
      <c r="G16" s="90"/>
      <c r="H16" s="5"/>
      <c r="I16" s="1"/>
    </row>
    <row r="17" spans="1:9" x14ac:dyDescent="0.25">
      <c r="A17" s="1"/>
      <c r="B17" s="1"/>
      <c r="C17" s="6" t="s">
        <v>101</v>
      </c>
      <c r="D17" s="88" t="s">
        <v>198</v>
      </c>
      <c r="E17" s="89"/>
      <c r="F17" s="89"/>
      <c r="G17" s="90"/>
      <c r="H17" s="5"/>
      <c r="I17" s="1"/>
    </row>
    <row r="18" spans="1:9" x14ac:dyDescent="0.25">
      <c r="A18" s="1"/>
      <c r="B18" s="1"/>
      <c r="C18" s="6" t="s">
        <v>88</v>
      </c>
      <c r="D18" s="100" t="s">
        <v>79</v>
      </c>
      <c r="E18" s="101"/>
      <c r="F18" s="101"/>
      <c r="G18" s="102"/>
      <c r="H18" s="5"/>
      <c r="I18" s="1"/>
    </row>
    <row r="19" spans="1:9" x14ac:dyDescent="0.25">
      <c r="A19" s="1"/>
      <c r="B19" s="1"/>
      <c r="C19" s="6" t="s">
        <v>89</v>
      </c>
      <c r="D19" s="100" t="s">
        <v>80</v>
      </c>
      <c r="E19" s="101"/>
      <c r="F19" s="101"/>
      <c r="G19" s="102"/>
      <c r="H19" s="5"/>
      <c r="I19" s="1"/>
    </row>
    <row r="20" spans="1:9" x14ac:dyDescent="0.25">
      <c r="A20" s="1"/>
      <c r="B20" s="1"/>
      <c r="C20" s="6" t="s">
        <v>7</v>
      </c>
      <c r="D20" s="100" t="s">
        <v>10</v>
      </c>
      <c r="E20" s="101"/>
      <c r="F20" s="101"/>
      <c r="G20" s="102"/>
      <c r="H20" s="5"/>
      <c r="I20" s="1"/>
    </row>
    <row r="21" spans="1:9" x14ac:dyDescent="0.25">
      <c r="A21" s="1"/>
      <c r="B21" s="1"/>
      <c r="C21" s="6" t="s">
        <v>90</v>
      </c>
      <c r="D21" s="92" t="s">
        <v>12</v>
      </c>
      <c r="E21" s="93"/>
      <c r="F21" s="93"/>
      <c r="G21" s="94"/>
      <c r="H21" s="5"/>
      <c r="I21" s="1"/>
    </row>
    <row r="22" spans="1:9" x14ac:dyDescent="0.25">
      <c r="A22" s="1"/>
      <c r="B22" s="1"/>
      <c r="C22" s="6" t="s">
        <v>71</v>
      </c>
      <c r="D22" s="95" t="s">
        <v>199</v>
      </c>
      <c r="E22" s="96"/>
      <c r="F22" s="96"/>
      <c r="G22" s="97"/>
      <c r="H22" s="5"/>
      <c r="I22" s="1"/>
    </row>
    <row r="23" spans="1:9" x14ac:dyDescent="0.25">
      <c r="A23" s="1"/>
      <c r="B23" s="1"/>
      <c r="C23" s="6" t="s">
        <v>8</v>
      </c>
      <c r="D23" s="95" t="s">
        <v>181</v>
      </c>
      <c r="E23" s="96"/>
      <c r="F23" s="96"/>
      <c r="G23" s="97"/>
      <c r="H23" s="5"/>
      <c r="I23" s="1"/>
    </row>
    <row r="24" spans="1:9" x14ac:dyDescent="0.25">
      <c r="A24" s="1"/>
      <c r="B24" s="1"/>
      <c r="C24" s="6" t="s">
        <v>9</v>
      </c>
      <c r="D24" s="95" t="s">
        <v>200</v>
      </c>
      <c r="E24" s="96"/>
      <c r="F24" s="96"/>
      <c r="G24" s="97"/>
      <c r="H24" s="5"/>
      <c r="I24" s="1"/>
    </row>
    <row r="25" spans="1:9" x14ac:dyDescent="0.25">
      <c r="A25" s="1"/>
      <c r="B25" s="1"/>
      <c r="C25" s="6" t="s">
        <v>166</v>
      </c>
      <c r="D25" s="95" t="s">
        <v>160</v>
      </c>
      <c r="E25" s="96"/>
      <c r="F25" s="96"/>
      <c r="G25" s="97"/>
      <c r="H25" s="1"/>
      <c r="I25" s="1"/>
    </row>
    <row r="26" spans="1:9" x14ac:dyDescent="0.25">
      <c r="A26" s="1"/>
      <c r="B26" s="1"/>
      <c r="C26" s="6" t="s">
        <v>167</v>
      </c>
      <c r="D26" s="95" t="s">
        <v>72</v>
      </c>
      <c r="E26" s="96"/>
      <c r="F26" s="96"/>
      <c r="G26" s="97"/>
      <c r="H26" s="1"/>
      <c r="I26" s="1"/>
    </row>
    <row r="27" spans="1:9" x14ac:dyDescent="0.25">
      <c r="A27" s="1"/>
      <c r="B27" s="1"/>
      <c r="C27" s="6" t="s">
        <v>168</v>
      </c>
      <c r="D27" s="95" t="s">
        <v>73</v>
      </c>
      <c r="E27" s="96"/>
      <c r="F27" s="96"/>
      <c r="G27" s="97"/>
      <c r="H27" s="1"/>
      <c r="I27" s="1"/>
    </row>
    <row r="28" spans="1:9" x14ac:dyDescent="0.25">
      <c r="A28" s="1"/>
      <c r="B28" s="1"/>
      <c r="C28" s="6" t="s">
        <v>15</v>
      </c>
      <c r="D28" s="95" t="s">
        <v>74</v>
      </c>
      <c r="E28" s="96"/>
      <c r="F28" s="96"/>
      <c r="G28" s="97"/>
      <c r="H28" s="1"/>
      <c r="I28" s="1"/>
    </row>
    <row r="29" spans="1:9" x14ac:dyDescent="0.25">
      <c r="A29" s="1"/>
      <c r="B29" s="1"/>
      <c r="C29" s="6" t="s">
        <v>34</v>
      </c>
      <c r="D29" s="95" t="s">
        <v>114</v>
      </c>
      <c r="E29" s="96"/>
      <c r="F29" s="96"/>
      <c r="G29" s="97"/>
      <c r="H29" s="1"/>
      <c r="I29" s="1"/>
    </row>
    <row r="30" spans="1:9" x14ac:dyDescent="0.25">
      <c r="A30" s="1"/>
      <c r="B30" s="1"/>
      <c r="C30" s="6" t="s">
        <v>35</v>
      </c>
      <c r="D30" s="95" t="s">
        <v>33</v>
      </c>
      <c r="E30" s="96"/>
      <c r="F30" s="96"/>
      <c r="G30" s="97"/>
      <c r="H30" s="1"/>
      <c r="I30" s="1"/>
    </row>
    <row r="31" spans="1:9" x14ac:dyDescent="0.25">
      <c r="A31" s="1"/>
      <c r="B31" s="1"/>
      <c r="C31" s="6" t="s">
        <v>169</v>
      </c>
      <c r="D31" s="106" t="s">
        <v>87</v>
      </c>
      <c r="E31" s="107"/>
      <c r="F31" s="107"/>
      <c r="G31" s="108"/>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GE77D9dlzFogGSVYKHRX6JzSMDrjJPJls2WAgMYAhxJLha+2b19F+4SqiECG0GyRGNIP40Tu4vNBQV9cUr6PaQ==" saltValue="e3Qm9G686qRgQppACwjERg=="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9" t="s">
        <v>201</v>
      </c>
      <c r="C3" s="109"/>
      <c r="D3" s="109"/>
      <c r="E3" s="1"/>
    </row>
    <row r="4" spans="1:5" ht="15" customHeight="1" x14ac:dyDescent="0.25">
      <c r="A4" s="1"/>
      <c r="B4" s="109"/>
      <c r="C4" s="109"/>
      <c r="D4" s="109"/>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385377668.67431629</v>
      </c>
      <c r="D9" s="8" t="s">
        <v>3</v>
      </c>
      <c r="E9" s="1"/>
    </row>
    <row r="10" spans="1:5" ht="17.25" customHeight="1" x14ac:dyDescent="0.25">
      <c r="A10" s="1"/>
      <c r="B10" s="87" t="s">
        <v>36</v>
      </c>
      <c r="C10" s="7">
        <f>'Fane 11.1. Varige tillæg'!C20</f>
        <v>3288047.588</v>
      </c>
      <c r="D10" s="8" t="s">
        <v>3</v>
      </c>
      <c r="E10" s="1"/>
    </row>
    <row r="11" spans="1:5" ht="17.25" customHeight="1" x14ac:dyDescent="0.25">
      <c r="A11" s="1"/>
      <c r="B11" s="87" t="s">
        <v>37</v>
      </c>
      <c r="C11" s="9">
        <f>'Fane 11.1. Varige tillæg'!E20</f>
        <v>2751801.1023999997</v>
      </c>
      <c r="D11" s="8" t="s">
        <v>3</v>
      </c>
      <c r="E11" s="1"/>
    </row>
    <row r="12" spans="1:5" ht="17.25" customHeight="1" x14ac:dyDescent="0.25">
      <c r="A12" s="1"/>
      <c r="B12" s="87" t="s">
        <v>26</v>
      </c>
      <c r="C12" s="9">
        <f>-'Fane 14. Bortfald'!C13</f>
        <v>0</v>
      </c>
      <c r="D12" s="8" t="s">
        <v>3</v>
      </c>
      <c r="E12" s="1"/>
    </row>
    <row r="13" spans="1:5" ht="17.25" customHeight="1" x14ac:dyDescent="0.25">
      <c r="A13" s="1"/>
      <c r="B13" s="87" t="s">
        <v>25</v>
      </c>
      <c r="C13" s="9">
        <f>-'Fane 14. Bortfald'!E13</f>
        <v>0</v>
      </c>
      <c r="D13" s="8" t="s">
        <v>3</v>
      </c>
      <c r="E13" s="1"/>
    </row>
    <row r="14" spans="1:5" ht="17.25" customHeight="1" x14ac:dyDescent="0.25">
      <c r="A14" s="1"/>
      <c r="B14" s="87" t="s">
        <v>105</v>
      </c>
      <c r="C14" s="9">
        <f>'Fane 13. Tilknyttet virksomhed'!C14</f>
        <v>0</v>
      </c>
      <c r="D14" s="8" t="s">
        <v>3</v>
      </c>
      <c r="E14" s="1"/>
    </row>
    <row r="15" spans="1:5" ht="17.25" customHeight="1" x14ac:dyDescent="0.25">
      <c r="A15" s="1"/>
      <c r="B15" s="87" t="s">
        <v>106</v>
      </c>
      <c r="C15" s="9">
        <f>'Fane 13. Tilknyttet virksomhed'!E14</f>
        <v>0</v>
      </c>
      <c r="D15" s="8" t="s">
        <v>3</v>
      </c>
      <c r="E15" s="1"/>
    </row>
    <row r="16" spans="1:5" ht="17.25" customHeight="1" x14ac:dyDescent="0.25">
      <c r="A16" s="1"/>
      <c r="B16" s="87" t="s">
        <v>19</v>
      </c>
      <c r="C16" s="41">
        <f>SUM(C9)*'Fane 15. Nøgletal'!C16+SUM(C10:C15)*'Fane 15. Nøgletal'!C16</f>
        <v>31626535.403069075</v>
      </c>
      <c r="D16" s="8" t="s">
        <v>3</v>
      </c>
      <c r="E16" s="1"/>
    </row>
    <row r="17" spans="1:5" ht="17.25" customHeight="1" x14ac:dyDescent="0.25">
      <c r="A17" s="1"/>
      <c r="B17" s="87" t="s">
        <v>10</v>
      </c>
      <c r="C17" s="41">
        <f>-SUM(C9,C10:C16)*'Fane 5. Individuelt eff. krav'!G9</f>
        <v>0</v>
      </c>
      <c r="D17" s="8" t="s">
        <v>3</v>
      </c>
      <c r="E17" s="1"/>
    </row>
    <row r="18" spans="1:5" ht="17.25" customHeight="1" x14ac:dyDescent="0.25">
      <c r="A18" s="1"/>
      <c r="B18" s="87" t="s">
        <v>23</v>
      </c>
      <c r="C18" s="41">
        <f>-'Fane 4.1. Gen. krav - drift'!G54</f>
        <v>-2797684.9561531735</v>
      </c>
      <c r="D18" s="8" t="s">
        <v>3</v>
      </c>
      <c r="E18" s="1"/>
    </row>
    <row r="19" spans="1:5" ht="17.25" customHeight="1" x14ac:dyDescent="0.25">
      <c r="A19" s="1"/>
      <c r="B19" s="87" t="s">
        <v>24</v>
      </c>
      <c r="C19" s="41">
        <f>-'Fane 4.2. Gen. krav - anlæg'!G55</f>
        <v>0</v>
      </c>
      <c r="D19" s="8" t="s">
        <v>3</v>
      </c>
      <c r="E19" s="47"/>
    </row>
    <row r="20" spans="1:5" ht="17.25" customHeight="1" x14ac:dyDescent="0.25">
      <c r="A20" s="1"/>
      <c r="B20" s="81" t="s">
        <v>21</v>
      </c>
      <c r="C20" s="10">
        <f>SUM(C9:C19)</f>
        <v>420246367.81163222</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27653941.800575998</v>
      </c>
      <c r="D22" s="11" t="s">
        <v>3</v>
      </c>
      <c r="E22" s="1"/>
    </row>
    <row r="23" spans="1:5" ht="15" customHeight="1" x14ac:dyDescent="0.25">
      <c r="A23" s="1"/>
      <c r="B23" s="33" t="s">
        <v>74</v>
      </c>
      <c r="C23" s="28"/>
      <c r="D23" s="19"/>
      <c r="E23" s="1"/>
    </row>
    <row r="24" spans="1:5" ht="15" customHeight="1" x14ac:dyDescent="0.25">
      <c r="A24" s="1"/>
      <c r="B24" s="81"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87" t="s">
        <v>158</v>
      </c>
      <c r="C26" s="41">
        <f>'Fane 11.2. Engangstillæg'!C14</f>
        <v>8679316.1124499198</v>
      </c>
      <c r="D26" s="8" t="s">
        <v>3</v>
      </c>
      <c r="E26" s="1"/>
    </row>
    <row r="27" spans="1:5" ht="15" customHeight="1" x14ac:dyDescent="0.25">
      <c r="A27" s="1"/>
      <c r="B27" s="87" t="s">
        <v>70</v>
      </c>
      <c r="C27" s="41">
        <f>'Fane 11.2. Engangstillæg'!E14</f>
        <v>0</v>
      </c>
      <c r="D27" s="8" t="s">
        <v>3</v>
      </c>
      <c r="E27" s="1"/>
    </row>
    <row r="28" spans="1:5" ht="15" customHeight="1" x14ac:dyDescent="0.25">
      <c r="A28" s="1"/>
      <c r="B28" s="87" t="s">
        <v>161</v>
      </c>
      <c r="C28" s="41">
        <f>-C26*('Fane 15. Nøgletal'!C33+'Fane 5. Individuelt eff. krav'!G9)</f>
        <v>-173586.32224899839</v>
      </c>
      <c r="D28" s="8" t="s">
        <v>3</v>
      </c>
      <c r="E28" s="1"/>
    </row>
    <row r="29" spans="1:5" ht="15" customHeight="1" x14ac:dyDescent="0.25">
      <c r="A29" s="1"/>
      <c r="B29" s="87" t="s">
        <v>162</v>
      </c>
      <c r="C29" s="41">
        <f>-C27*('Fane 15. Nøgletal'!C28+'Fane 5. Individuelt eff. krav'!G9)</f>
        <v>0</v>
      </c>
      <c r="D29" s="8" t="s">
        <v>3</v>
      </c>
      <c r="E29" s="1"/>
    </row>
    <row r="30" spans="1:5" ht="15" customHeight="1" x14ac:dyDescent="0.25">
      <c r="A30" s="1"/>
      <c r="B30" s="70" t="s">
        <v>75</v>
      </c>
      <c r="C30" s="10">
        <f>SUM(C26:C29)</f>
        <v>8505729.7902009208</v>
      </c>
      <c r="D30" s="11" t="s">
        <v>3</v>
      </c>
      <c r="E30" s="1"/>
    </row>
    <row r="31" spans="1:5" x14ac:dyDescent="0.25">
      <c r="A31" s="1"/>
      <c r="B31" s="33" t="s">
        <v>116</v>
      </c>
      <c r="C31" s="28"/>
      <c r="D31" s="19"/>
      <c r="E31" s="1"/>
    </row>
    <row r="32" spans="1:5" x14ac:dyDescent="0.25">
      <c r="A32" s="1"/>
      <c r="B32" s="31" t="s">
        <v>138</v>
      </c>
      <c r="C32" s="10">
        <f>'Fane 7. Kontrol af ØR2022'!E31</f>
        <v>-23707693.5</v>
      </c>
      <c r="D32" s="11" t="s">
        <v>3</v>
      </c>
      <c r="E32" s="1"/>
    </row>
    <row r="33" spans="1:5" ht="15" customHeight="1" x14ac:dyDescent="0.25">
      <c r="A33" s="1"/>
      <c r="B33" s="33" t="s">
        <v>200</v>
      </c>
      <c r="C33" s="28"/>
      <c r="D33" s="19"/>
      <c r="E33" s="1"/>
    </row>
    <row r="34" spans="1:5" x14ac:dyDescent="0.25">
      <c r="A34" s="1"/>
      <c r="B34" s="31" t="s">
        <v>200</v>
      </c>
      <c r="C34" s="10">
        <f>'Fane 9. Korrektion af ØR2022'!E17</f>
        <v>-1780233</v>
      </c>
      <c r="D34" s="11" t="s">
        <v>3</v>
      </c>
      <c r="E34" s="1"/>
    </row>
    <row r="35" spans="1:5" x14ac:dyDescent="0.25">
      <c r="A35" s="1"/>
      <c r="B35" s="30" t="s">
        <v>135</v>
      </c>
      <c r="C35" s="28"/>
      <c r="D35" s="19"/>
      <c r="E35" s="1"/>
    </row>
    <row r="36" spans="1:5" x14ac:dyDescent="0.25">
      <c r="A36" s="1"/>
      <c r="B36" s="70" t="s">
        <v>136</v>
      </c>
      <c r="C36" s="10">
        <f>'Fane 8. Skattesagen'!G13</f>
        <v>0</v>
      </c>
      <c r="D36" s="11" t="s">
        <v>3</v>
      </c>
      <c r="E36" s="1"/>
    </row>
    <row r="37" spans="1:5" x14ac:dyDescent="0.25">
      <c r="A37" s="1"/>
      <c r="B37" s="33" t="s">
        <v>108</v>
      </c>
      <c r="C37" s="49">
        <f>SUM(C34,C32,C24,C30,C22,C20,C36)</f>
        <v>430918112.90240914</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f4DBfSQhkgFh+tlwfGbgdclnFtRKVbsfUHOYsegkLYwXlE4GqnHJMfMXyRFUMKhq2JwSRU+6PHgh4B/nizW+dw==" saltValue="fxhLNWpVJZKlXD59dGbdYA=="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9" t="s">
        <v>202</v>
      </c>
      <c r="C3" s="109"/>
      <c r="D3" s="109"/>
      <c r="E3" s="1"/>
    </row>
    <row r="4" spans="1:5" ht="15" customHeight="1" x14ac:dyDescent="0.25">
      <c r="A4" s="1"/>
      <c r="B4" s="109"/>
      <c r="C4" s="109"/>
      <c r="D4" s="109"/>
      <c r="E4" s="1"/>
    </row>
    <row r="5" spans="1:5" x14ac:dyDescent="0.25">
      <c r="A5" s="1"/>
      <c r="B5" s="110"/>
      <c r="C5" s="110"/>
      <c r="D5" s="110"/>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420246367.81163222</v>
      </c>
      <c r="D9" s="8" t="s">
        <v>3</v>
      </c>
      <c r="E9" s="1"/>
    </row>
    <row r="10" spans="1:5" ht="15" customHeight="1" x14ac:dyDescent="0.25">
      <c r="A10" s="1"/>
      <c r="B10" s="26" t="s">
        <v>19</v>
      </c>
      <c r="C10" s="7">
        <f>SUM(C9:C9)*'Fane 15. Nøgletal'!C16</f>
        <v>33955906.519179881</v>
      </c>
      <c r="D10" s="8" t="s">
        <v>3</v>
      </c>
      <c r="E10" s="1"/>
    </row>
    <row r="11" spans="1:5" ht="15" customHeight="1" x14ac:dyDescent="0.25">
      <c r="A11" s="1"/>
      <c r="B11" s="26" t="s">
        <v>10</v>
      </c>
      <c r="C11" s="9">
        <f>-SUM(C9:C10)*'Fane 5. Individuelt eff. krav'!G9</f>
        <v>0</v>
      </c>
      <c r="D11" s="8" t="s">
        <v>3</v>
      </c>
      <c r="E11" s="1"/>
    </row>
    <row r="12" spans="1:5" ht="15" customHeight="1" x14ac:dyDescent="0.25">
      <c r="A12" s="1"/>
      <c r="B12" s="26" t="s">
        <v>23</v>
      </c>
      <c r="C12" s="9">
        <f>-'Fane 4.1. Gen. krav - drift'!G59</f>
        <v>-2963263.1425981428</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451239011.18821394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27779717.926862538</v>
      </c>
      <c r="D16" s="11" t="s">
        <v>3</v>
      </c>
      <c r="E16" s="1"/>
    </row>
    <row r="17" spans="1:5" ht="15" customHeight="1" x14ac:dyDescent="0.25">
      <c r="A17" s="1"/>
      <c r="B17" s="33" t="s">
        <v>74</v>
      </c>
      <c r="C17" s="28"/>
      <c r="D17" s="19"/>
      <c r="E17" s="1"/>
    </row>
    <row r="18" spans="1:5" ht="15" customHeight="1" x14ac:dyDescent="0.25">
      <c r="A18" s="1"/>
      <c r="B18" s="81"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-23707693.5</v>
      </c>
      <c r="D20" s="11" t="s">
        <v>3</v>
      </c>
      <c r="E20" s="1"/>
    </row>
    <row r="21" spans="1:5" x14ac:dyDescent="0.25">
      <c r="A21" s="1"/>
      <c r="B21" s="30" t="s">
        <v>135</v>
      </c>
      <c r="C21" s="28"/>
      <c r="D21" s="19"/>
      <c r="E21" s="1"/>
    </row>
    <row r="22" spans="1:5" x14ac:dyDescent="0.25">
      <c r="A22" s="1"/>
      <c r="B22" s="70" t="s">
        <v>136</v>
      </c>
      <c r="C22" s="10">
        <f>'Fane 8. Skattesagen'!G14</f>
        <v>0</v>
      </c>
      <c r="D22" s="11" t="s">
        <v>3</v>
      </c>
      <c r="E22" s="1"/>
    </row>
    <row r="23" spans="1:5" x14ac:dyDescent="0.25">
      <c r="A23" s="1"/>
      <c r="B23" s="33" t="s">
        <v>122</v>
      </c>
      <c r="C23" s="12">
        <f>SUM(C14,C16,C18,C20,C22)</f>
        <v>455311035.61507648</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KDFeY7vWyJ3qRBiR2SKFi66K/M8wyovbnAA7/IWqrBRcZ+8Ffui3mU+pAitGsjXqt75E1l/wVRvxUA2Baz1fdw==" saltValue="kLEIH5AEM9f/vJpZfTJyk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9" t="s">
        <v>203</v>
      </c>
      <c r="C3" s="109"/>
      <c r="D3" s="109"/>
      <c r="E3" s="1"/>
    </row>
    <row r="4" spans="1:5" ht="15" customHeight="1" x14ac:dyDescent="0.25">
      <c r="A4" s="1"/>
      <c r="B4" s="109"/>
      <c r="C4" s="109"/>
      <c r="D4" s="109"/>
      <c r="E4" s="1"/>
    </row>
    <row r="5" spans="1:5" x14ac:dyDescent="0.25">
      <c r="A5" s="1"/>
      <c r="B5" s="110" t="s">
        <v>253</v>
      </c>
      <c r="C5" s="110"/>
      <c r="D5" s="110"/>
      <c r="E5" s="1"/>
    </row>
    <row r="6" spans="1:5" x14ac:dyDescent="0.25">
      <c r="A6" s="1"/>
      <c r="B6" s="72"/>
      <c r="C6" s="72"/>
      <c r="D6" s="72"/>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451239011.18821394</v>
      </c>
      <c r="D9" s="8" t="s">
        <v>3</v>
      </c>
      <c r="E9" s="1"/>
    </row>
    <row r="10" spans="1:5" ht="15" customHeight="1" x14ac:dyDescent="0.25">
      <c r="A10" s="1"/>
      <c r="B10" s="26" t="s">
        <v>19</v>
      </c>
      <c r="C10" s="7">
        <f>SUM(C9:C9)*'Fane 15. Nøgletal'!C16</f>
        <v>36460112.104007684</v>
      </c>
      <c r="D10" s="8" t="s">
        <v>3</v>
      </c>
      <c r="E10" s="1"/>
    </row>
    <row r="11" spans="1:5" ht="15" customHeight="1" x14ac:dyDescent="0.25">
      <c r="A11" s="1"/>
      <c r="B11" s="26" t="s">
        <v>10</v>
      </c>
      <c r="C11" s="9">
        <f>-SUM(C9:C10)*'Fane 5. Individuelt eff. krav'!G9</f>
        <v>0</v>
      </c>
      <c r="D11" s="8" t="s">
        <v>3</v>
      </c>
      <c r="E11" s="1"/>
    </row>
    <row r="12" spans="1:5" ht="15" customHeight="1" x14ac:dyDescent="0.25">
      <c r="A12" s="1"/>
      <c r="B12" s="26" t="s">
        <v>23</v>
      </c>
      <c r="C12" s="9">
        <f>-'Fane 4.1. Gen. krav - drift'!G64</f>
        <v>-3138640.9084296711</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484560482.38379192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29630734.35855303</v>
      </c>
      <c r="D16" s="11" t="s">
        <v>3</v>
      </c>
      <c r="E16" s="1"/>
    </row>
    <row r="17" spans="1:5" ht="15" customHeight="1" x14ac:dyDescent="0.25">
      <c r="A17" s="1"/>
      <c r="B17" s="33" t="s">
        <v>74</v>
      </c>
      <c r="C17" s="28"/>
      <c r="D17" s="19"/>
      <c r="E17" s="1"/>
    </row>
    <row r="18" spans="1:5" ht="15" customHeight="1" x14ac:dyDescent="0.25">
      <c r="A18" s="1"/>
      <c r="B18" s="81"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70" t="s">
        <v>136</v>
      </c>
      <c r="C22" s="10">
        <f>'Fane 8. Skattesagen'!G15</f>
        <v>0</v>
      </c>
      <c r="D22" s="11" t="s">
        <v>3</v>
      </c>
      <c r="E22" s="1"/>
    </row>
    <row r="23" spans="1:5" x14ac:dyDescent="0.25">
      <c r="A23" s="1"/>
      <c r="B23" s="33" t="s">
        <v>140</v>
      </c>
      <c r="C23" s="12">
        <f>SUM(C14,C16,C18,C20,C22)</f>
        <v>514191216.74234498</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bHuH5Jf3xgHavjeKaAn7qNnuZwUagZLESieHhYrFhh5faKVz2HkXoX1c1aLXjUR61anw2G7RCVRPtXPk3Vb0NQ==" saltValue="kZu1vo/4vWde2VrFkdKsP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9" t="s">
        <v>204</v>
      </c>
      <c r="C3" s="109"/>
      <c r="D3" s="109"/>
      <c r="E3" s="1"/>
      <c r="F3" s="1"/>
    </row>
    <row r="4" spans="1:6" ht="15" customHeight="1" x14ac:dyDescent="0.25">
      <c r="A4" s="1"/>
      <c r="B4" s="109"/>
      <c r="C4" s="109"/>
      <c r="D4" s="109"/>
      <c r="E4" s="1"/>
      <c r="F4" s="1"/>
    </row>
    <row r="5" spans="1:6" x14ac:dyDescent="0.25">
      <c r="A5" s="1"/>
      <c r="B5" s="110" t="s">
        <v>253</v>
      </c>
      <c r="C5" s="110"/>
      <c r="D5" s="110"/>
      <c r="E5" s="1"/>
      <c r="F5" s="1"/>
    </row>
    <row r="6" spans="1:6" x14ac:dyDescent="0.25">
      <c r="A6" s="1"/>
      <c r="B6" s="72"/>
      <c r="C6" s="72"/>
      <c r="D6" s="72"/>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484560482.38379192</v>
      </c>
      <c r="D9" s="8" t="s">
        <v>3</v>
      </c>
      <c r="E9" s="1"/>
      <c r="F9" s="1"/>
    </row>
    <row r="10" spans="1:6" ht="15" customHeight="1" x14ac:dyDescent="0.25">
      <c r="A10" s="1"/>
      <c r="B10" s="26" t="s">
        <v>19</v>
      </c>
      <c r="C10" s="7">
        <f>SUM(C9:C9)*'Fane 15. Nøgletal'!C16</f>
        <v>39152486.976610385</v>
      </c>
      <c r="D10" s="8" t="s">
        <v>3</v>
      </c>
      <c r="E10" s="1"/>
      <c r="F10" s="1"/>
    </row>
    <row r="11" spans="1:6" ht="15" customHeight="1" x14ac:dyDescent="0.25">
      <c r="A11" s="1"/>
      <c r="B11" s="26" t="s">
        <v>10</v>
      </c>
      <c r="C11" s="9">
        <f>-SUM(C9:C10)*'Fane 5. Individuelt eff. krav'!G9</f>
        <v>0</v>
      </c>
      <c r="D11" s="8" t="s">
        <v>3</v>
      </c>
      <c r="E11" s="1"/>
      <c r="F11" s="1"/>
    </row>
    <row r="12" spans="1:6" ht="15" customHeight="1" x14ac:dyDescent="0.25">
      <c r="A12" s="1"/>
      <c r="B12" s="26" t="s">
        <v>23</v>
      </c>
      <c r="C12" s="9">
        <f>-'Fane 4.1. Gen. krav - drift'!G69</f>
        <v>-3324398.2319541723</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520388571.12844813</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31630415.949924115</v>
      </c>
      <c r="D16" s="11" t="s">
        <v>3</v>
      </c>
      <c r="E16" s="1"/>
      <c r="F16" s="1"/>
    </row>
    <row r="17" spans="1:6" ht="15" customHeight="1" x14ac:dyDescent="0.25">
      <c r="A17" s="1"/>
      <c r="B17" s="33" t="s">
        <v>74</v>
      </c>
      <c r="C17" s="28"/>
      <c r="D17" s="19"/>
      <c r="E17" s="1"/>
      <c r="F17" s="1"/>
    </row>
    <row r="18" spans="1:6" ht="15" customHeight="1" x14ac:dyDescent="0.25">
      <c r="A18" s="1"/>
      <c r="B18" s="81"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70" t="s">
        <v>136</v>
      </c>
      <c r="C22" s="10">
        <f>'Fane 8. Skattesagen'!G16</f>
        <v>0</v>
      </c>
      <c r="D22" s="11" t="s">
        <v>3</v>
      </c>
      <c r="E22" s="1"/>
      <c r="F22" s="1"/>
    </row>
    <row r="23" spans="1:6" x14ac:dyDescent="0.25">
      <c r="A23" s="1"/>
      <c r="B23" s="33" t="s">
        <v>209</v>
      </c>
      <c r="C23" s="12">
        <f>SUM(C14,C16,C18,C20,C22)</f>
        <v>552018987.07837224</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OtOJ8TeUxNtOQYtP6MSL27xIwods55erqM4xa6/KLT4JBCFkphdeY4RFYCHWF6hxwNQ6JbNoleXDqWQrNLRuag==" saltValue="vNlca0C//+yMpyOUinuEq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9" zoomScaleNormal="100" zoomScalePageLayoutView="99"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2" t="s">
        <v>205</v>
      </c>
      <c r="C3" s="112"/>
      <c r="D3" s="112"/>
      <c r="E3" s="1"/>
    </row>
    <row r="4" spans="1:5" x14ac:dyDescent="0.25">
      <c r="A4" s="1"/>
      <c r="B4" s="112"/>
      <c r="C4" s="112"/>
      <c r="D4" s="11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386094278.3585912</v>
      </c>
      <c r="D9" s="8" t="s">
        <v>3</v>
      </c>
      <c r="E9" s="1"/>
    </row>
    <row r="10" spans="1:5" x14ac:dyDescent="0.25">
      <c r="A10" s="1"/>
      <c r="B10" s="87" t="s">
        <v>36</v>
      </c>
      <c r="C10" s="7">
        <v>1530105.2136000001</v>
      </c>
      <c r="D10" s="8" t="s">
        <v>3</v>
      </c>
      <c r="E10" s="1"/>
    </row>
    <row r="11" spans="1:5" x14ac:dyDescent="0.25">
      <c r="A11" s="1"/>
      <c r="B11" s="87" t="s">
        <v>37</v>
      </c>
      <c r="C11" s="9">
        <v>3428827.0692000003</v>
      </c>
      <c r="D11" s="8" t="s">
        <v>3</v>
      </c>
      <c r="E11" s="1"/>
    </row>
    <row r="12" spans="1:5" x14ac:dyDescent="0.25">
      <c r="A12" s="1"/>
      <c r="B12" s="87" t="s">
        <v>26</v>
      </c>
      <c r="C12" s="9">
        <v>0</v>
      </c>
      <c r="D12" s="8" t="s">
        <v>3</v>
      </c>
      <c r="E12" s="1"/>
    </row>
    <row r="13" spans="1:5" x14ac:dyDescent="0.25">
      <c r="A13" s="1"/>
      <c r="B13" s="87" t="s">
        <v>25</v>
      </c>
      <c r="C13" s="9">
        <v>0</v>
      </c>
      <c r="D13" s="8" t="s">
        <v>3</v>
      </c>
      <c r="E13" s="1"/>
    </row>
    <row r="14" spans="1:5" x14ac:dyDescent="0.25">
      <c r="A14" s="1"/>
      <c r="B14" s="87" t="s">
        <v>105</v>
      </c>
      <c r="C14" s="9">
        <v>0</v>
      </c>
      <c r="D14" s="8" t="s">
        <v>3</v>
      </c>
      <c r="E14" s="1"/>
    </row>
    <row r="15" spans="1:5" x14ac:dyDescent="0.25">
      <c r="A15" s="1"/>
      <c r="B15" s="87" t="s">
        <v>106</v>
      </c>
      <c r="C15" s="9">
        <v>0</v>
      </c>
      <c r="D15" s="8" t="s">
        <v>3</v>
      </c>
      <c r="E15" s="1"/>
    </row>
    <row r="16" spans="1:5" x14ac:dyDescent="0.25">
      <c r="A16" s="1"/>
      <c r="B16" s="87" t="s">
        <v>19</v>
      </c>
      <c r="C16" s="41">
        <v>1450649.107851031</v>
      </c>
      <c r="D16" s="8" t="s">
        <v>3</v>
      </c>
      <c r="E16" s="1"/>
    </row>
    <row r="17" spans="1:5" x14ac:dyDescent="0.25">
      <c r="A17" s="1"/>
      <c r="B17" s="87" t="s">
        <v>10</v>
      </c>
      <c r="C17" s="41">
        <v>-648033.07970350888</v>
      </c>
      <c r="D17" s="8" t="s">
        <v>3</v>
      </c>
      <c r="E17" s="1"/>
    </row>
    <row r="18" spans="1:5" x14ac:dyDescent="0.25">
      <c r="A18" s="1"/>
      <c r="B18" s="87" t="s">
        <v>23</v>
      </c>
      <c r="C18" s="41">
        <v>-2574255.7662228337</v>
      </c>
      <c r="D18" s="8" t="s">
        <v>3</v>
      </c>
      <c r="E18" s="1"/>
    </row>
    <row r="19" spans="1:5" x14ac:dyDescent="0.25">
      <c r="A19" s="1"/>
      <c r="B19" s="87" t="s">
        <v>24</v>
      </c>
      <c r="C19" s="41">
        <v>-3903902.2289995463</v>
      </c>
      <c r="D19" s="8" t="s">
        <v>3</v>
      </c>
      <c r="E19" s="47"/>
    </row>
    <row r="20" spans="1:5" x14ac:dyDescent="0.25">
      <c r="A20" s="1"/>
      <c r="B20" s="81" t="s">
        <v>21</v>
      </c>
      <c r="C20" s="10">
        <v>385377668.67431629</v>
      </c>
      <c r="D20" s="11" t="s">
        <v>3</v>
      </c>
      <c r="E20" s="1"/>
    </row>
    <row r="21" spans="1:5" x14ac:dyDescent="0.25">
      <c r="A21" s="1"/>
      <c r="B21" s="33" t="s">
        <v>12</v>
      </c>
      <c r="C21" s="28"/>
      <c r="D21" s="19"/>
      <c r="E21" s="1"/>
    </row>
    <row r="22" spans="1:5" x14ac:dyDescent="0.25">
      <c r="A22" s="1"/>
      <c r="B22" s="31" t="s">
        <v>12</v>
      </c>
      <c r="C22" s="10">
        <v>23103427.82230176</v>
      </c>
      <c r="D22" s="11" t="s">
        <v>3</v>
      </c>
      <c r="E22" s="1"/>
    </row>
    <row r="23" spans="1:5" x14ac:dyDescent="0.25">
      <c r="A23" s="1"/>
      <c r="B23" s="33" t="s">
        <v>74</v>
      </c>
      <c r="C23" s="28"/>
      <c r="D23" s="19"/>
      <c r="E23" s="1"/>
    </row>
    <row r="24" spans="1:5" x14ac:dyDescent="0.25">
      <c r="A24" s="1"/>
      <c r="B24" s="81" t="s">
        <v>74</v>
      </c>
      <c r="C24" s="10">
        <v>0</v>
      </c>
      <c r="D24" s="11" t="s">
        <v>3</v>
      </c>
      <c r="E24" s="1"/>
    </row>
    <row r="25" spans="1:5" x14ac:dyDescent="0.25">
      <c r="A25" s="1"/>
      <c r="B25" s="44" t="s">
        <v>73</v>
      </c>
      <c r="C25" s="42"/>
      <c r="D25" s="43"/>
      <c r="E25" s="1"/>
    </row>
    <row r="26" spans="1:5" x14ac:dyDescent="0.25">
      <c r="A26" s="1"/>
      <c r="B26" s="87" t="s">
        <v>158</v>
      </c>
      <c r="C26" s="69">
        <v>1619976.9618230402</v>
      </c>
      <c r="D26" s="8" t="s">
        <v>3</v>
      </c>
      <c r="E26" s="1"/>
    </row>
    <row r="27" spans="1:5" x14ac:dyDescent="0.25">
      <c r="A27" s="1"/>
      <c r="B27" s="87" t="s">
        <v>70</v>
      </c>
      <c r="C27" s="69">
        <v>0</v>
      </c>
      <c r="D27" s="8" t="s">
        <v>3</v>
      </c>
      <c r="E27" s="1"/>
    </row>
    <row r="28" spans="1:5" x14ac:dyDescent="0.25">
      <c r="A28" s="1"/>
      <c r="B28" s="87" t="s">
        <v>161</v>
      </c>
      <c r="C28" s="69">
        <v>-35074.159201445604</v>
      </c>
      <c r="D28" s="8" t="s">
        <v>3</v>
      </c>
      <c r="E28" s="1"/>
    </row>
    <row r="29" spans="1:5" x14ac:dyDescent="0.25">
      <c r="A29" s="1"/>
      <c r="B29" s="87" t="s">
        <v>162</v>
      </c>
      <c r="C29" s="69">
        <v>0</v>
      </c>
      <c r="D29" s="8" t="s">
        <v>3</v>
      </c>
      <c r="E29" s="1"/>
    </row>
    <row r="30" spans="1:5" x14ac:dyDescent="0.25">
      <c r="A30" s="1"/>
      <c r="B30" s="70" t="s">
        <v>75</v>
      </c>
      <c r="C30" s="10">
        <v>1584902.8026215946</v>
      </c>
      <c r="D30" s="11" t="s">
        <v>3</v>
      </c>
      <c r="E30" s="1"/>
    </row>
    <row r="31" spans="1:5" x14ac:dyDescent="0.25">
      <c r="A31" s="1"/>
      <c r="B31" s="33" t="s">
        <v>116</v>
      </c>
      <c r="C31" s="28"/>
      <c r="D31" s="19"/>
      <c r="E31" s="1"/>
    </row>
    <row r="32" spans="1:5" x14ac:dyDescent="0.25">
      <c r="A32" s="1"/>
      <c r="B32" s="31" t="s">
        <v>138</v>
      </c>
      <c r="C32" s="10">
        <v>-12753340.7772457</v>
      </c>
      <c r="D32" s="11" t="s">
        <v>3</v>
      </c>
      <c r="E32" s="1"/>
    </row>
    <row r="33" spans="1:5" x14ac:dyDescent="0.25">
      <c r="A33" s="1"/>
      <c r="B33" s="33" t="s">
        <v>266</v>
      </c>
      <c r="C33" s="28"/>
      <c r="D33" s="19"/>
      <c r="E33" s="1"/>
    </row>
    <row r="34" spans="1:5" x14ac:dyDescent="0.25">
      <c r="A34" s="1"/>
      <c r="B34" s="31" t="s">
        <v>266</v>
      </c>
      <c r="C34" s="10">
        <v>-2126697</v>
      </c>
      <c r="D34" s="11" t="s">
        <v>3</v>
      </c>
      <c r="E34" s="1"/>
    </row>
    <row r="35" spans="1:5" x14ac:dyDescent="0.25">
      <c r="A35" s="1"/>
      <c r="B35" s="30" t="s">
        <v>135</v>
      </c>
      <c r="C35" s="28"/>
      <c r="D35" s="19"/>
      <c r="E35" s="1"/>
    </row>
    <row r="36" spans="1:5" x14ac:dyDescent="0.25">
      <c r="A36" s="1"/>
      <c r="B36" s="70" t="s">
        <v>136</v>
      </c>
      <c r="C36" s="10">
        <v>0</v>
      </c>
      <c r="D36" s="11" t="s">
        <v>3</v>
      </c>
      <c r="E36" s="1"/>
    </row>
    <row r="37" spans="1:5" x14ac:dyDescent="0.25">
      <c r="A37" s="1"/>
      <c r="B37" s="33" t="s">
        <v>267</v>
      </c>
      <c r="C37" s="49">
        <v>395185961.52199394</v>
      </c>
      <c r="D37" s="30" t="s">
        <v>3</v>
      </c>
      <c r="E37" s="1"/>
    </row>
    <row r="38" spans="1:5" ht="30" customHeight="1" x14ac:dyDescent="0.25">
      <c r="A38" s="1"/>
      <c r="B38" s="111" t="s">
        <v>268</v>
      </c>
      <c r="C38" s="111"/>
      <c r="D38" s="11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O0RpZIrXGH2jwpgvqr4hE3VzqEMLSAyXcp0UHoSwmuVoIRtP2WsSX0z3t4OQDFWosqoZ7rJjLu1zZP33KnNJnQ==" saltValue="FQRnwdXGgmmqbGmUoN/pKw==" spinCount="100000" sheet="1" objects="1" scenarios="1"/>
  <mergeCells count="2">
    <mergeCell ref="B38:D38"/>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2" t="s">
        <v>91</v>
      </c>
      <c r="C2" s="112"/>
      <c r="D2" s="112"/>
      <c r="E2" s="112"/>
      <c r="F2" s="112"/>
      <c r="G2" s="112"/>
      <c r="H2" s="112"/>
      <c r="I2" s="1"/>
    </row>
    <row r="3" spans="1:9" ht="28.5" customHeight="1" x14ac:dyDescent="0.25">
      <c r="A3" s="1"/>
      <c r="B3" s="112"/>
      <c r="C3" s="112"/>
      <c r="D3" s="112"/>
      <c r="E3" s="112"/>
      <c r="F3" s="112"/>
      <c r="G3" s="112"/>
      <c r="H3" s="112"/>
      <c r="I3" s="1"/>
    </row>
    <row r="4" spans="1:9" x14ac:dyDescent="0.25">
      <c r="A4" s="1"/>
      <c r="B4" s="116" t="s">
        <v>46</v>
      </c>
      <c r="C4" s="117"/>
      <c r="D4" s="117"/>
      <c r="E4" s="117"/>
      <c r="F4" s="117"/>
      <c r="G4" s="117"/>
      <c r="H4" s="118"/>
      <c r="I4" s="1"/>
    </row>
    <row r="5" spans="1:9" x14ac:dyDescent="0.25">
      <c r="A5" s="1"/>
      <c r="B5" s="119" t="s">
        <v>38</v>
      </c>
      <c r="C5" s="120"/>
      <c r="D5" s="120"/>
      <c r="E5" s="120"/>
      <c r="F5" s="121"/>
      <c r="G5" s="63">
        <v>113608124.59852259</v>
      </c>
      <c r="H5" s="14" t="s">
        <v>3</v>
      </c>
      <c r="I5" s="1"/>
    </row>
    <row r="6" spans="1:9" x14ac:dyDescent="0.25">
      <c r="A6" s="1"/>
      <c r="B6" s="113" t="s">
        <v>102</v>
      </c>
      <c r="C6" s="114"/>
      <c r="D6" s="114"/>
      <c r="E6" s="114"/>
      <c r="F6" s="115"/>
      <c r="G6" s="66">
        <v>0</v>
      </c>
      <c r="H6" s="14" t="s">
        <v>3</v>
      </c>
      <c r="I6" s="1"/>
    </row>
    <row r="7" spans="1:9" x14ac:dyDescent="0.25">
      <c r="A7" s="1"/>
      <c r="B7" s="119" t="s">
        <v>39</v>
      </c>
      <c r="C7" s="120"/>
      <c r="D7" s="120"/>
      <c r="E7" s="120"/>
      <c r="F7" s="121"/>
      <c r="G7" s="23">
        <f>SUM(G5:G6)*'Fane 15. Nøgletal'!C33</f>
        <v>2272162.491970452</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6" t="s">
        <v>47</v>
      </c>
      <c r="C10" s="117"/>
      <c r="D10" s="117"/>
      <c r="E10" s="117"/>
      <c r="F10" s="117"/>
      <c r="G10" s="117"/>
      <c r="H10" s="118"/>
      <c r="I10" s="1"/>
    </row>
    <row r="11" spans="1:9" x14ac:dyDescent="0.25">
      <c r="A11" s="1"/>
      <c r="B11" s="119" t="s">
        <v>40</v>
      </c>
      <c r="C11" s="120"/>
      <c r="D11" s="120"/>
      <c r="E11" s="120"/>
      <c r="F11" s="121"/>
      <c r="G11" s="23">
        <f>(G5-G7)*(1+'Fane 15. Nøgletal'!C10)</f>
        <v>113284341.4434168</v>
      </c>
      <c r="H11" s="14" t="s">
        <v>3</v>
      </c>
      <c r="I11" s="1"/>
    </row>
    <row r="12" spans="1:9" ht="15" customHeight="1" x14ac:dyDescent="0.25">
      <c r="A12" s="1"/>
      <c r="B12" s="119" t="s">
        <v>103</v>
      </c>
      <c r="C12" s="120"/>
      <c r="D12" s="120"/>
      <c r="E12" s="120"/>
      <c r="F12" s="121"/>
      <c r="G12" s="66">
        <v>-10265.066454511621</v>
      </c>
      <c r="H12" s="14" t="s">
        <v>3</v>
      </c>
      <c r="I12" s="1"/>
    </row>
    <row r="13" spans="1:9" x14ac:dyDescent="0.25">
      <c r="A13" s="1"/>
      <c r="B13" s="113" t="s">
        <v>100</v>
      </c>
      <c r="C13" s="114"/>
      <c r="D13" s="114"/>
      <c r="E13" s="114"/>
      <c r="F13" s="115"/>
      <c r="G13" s="66">
        <v>0</v>
      </c>
      <c r="H13" s="14" t="s">
        <v>3</v>
      </c>
      <c r="I13" s="1"/>
    </row>
    <row r="14" spans="1:9" x14ac:dyDescent="0.25">
      <c r="A14" s="1"/>
      <c r="B14" s="122" t="s">
        <v>244</v>
      </c>
      <c r="C14" s="123"/>
      <c r="D14" s="123"/>
      <c r="E14" s="123"/>
      <c r="F14" s="124"/>
      <c r="G14" s="66">
        <v>0</v>
      </c>
      <c r="H14" s="14" t="s">
        <v>3</v>
      </c>
      <c r="I14" s="1"/>
    </row>
    <row r="15" spans="1:9" x14ac:dyDescent="0.25">
      <c r="A15" s="1"/>
      <c r="B15" s="119" t="s">
        <v>41</v>
      </c>
      <c r="C15" s="120"/>
      <c r="D15" s="120"/>
      <c r="E15" s="120"/>
      <c r="F15" s="121"/>
      <c r="G15" s="23">
        <f>SUM(G11:G14)*'Fane 15. Nøgletal'!C33</f>
        <v>2265481.5275392458</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6" t="s">
        <v>48</v>
      </c>
      <c r="C18" s="117"/>
      <c r="D18" s="117"/>
      <c r="E18" s="117"/>
      <c r="F18" s="117"/>
      <c r="G18" s="117"/>
      <c r="H18" s="118"/>
      <c r="I18" s="1"/>
    </row>
    <row r="19" spans="1:9" x14ac:dyDescent="0.25">
      <c r="A19" s="1"/>
      <c r="B19" s="119" t="s">
        <v>42</v>
      </c>
      <c r="C19" s="120"/>
      <c r="D19" s="120"/>
      <c r="E19" s="120"/>
      <c r="F19" s="121"/>
      <c r="G19" s="23">
        <f>(SUM(G11:G12,G14)-(G15))*(1+'Fane 15. Nøgletal'!C10)</f>
        <v>112951245.25928797</v>
      </c>
      <c r="H19" s="14" t="s">
        <v>3</v>
      </c>
      <c r="I19" s="1"/>
    </row>
    <row r="20" spans="1:9" x14ac:dyDescent="0.25">
      <c r="A20" s="1"/>
      <c r="B20" s="122" t="s">
        <v>245</v>
      </c>
      <c r="C20" s="123"/>
      <c r="D20" s="123"/>
      <c r="E20" s="123"/>
      <c r="F20" s="124"/>
      <c r="G20" s="66">
        <v>2248806.3284404096</v>
      </c>
      <c r="H20" s="14" t="s">
        <v>3</v>
      </c>
      <c r="I20" s="1"/>
    </row>
    <row r="21" spans="1:9" x14ac:dyDescent="0.25">
      <c r="A21" s="1"/>
      <c r="B21" s="119" t="s">
        <v>43</v>
      </c>
      <c r="C21" s="120"/>
      <c r="D21" s="120"/>
      <c r="E21" s="120"/>
      <c r="F21" s="121"/>
      <c r="G21" s="23">
        <f>SUM(G19:G20)*'Fane 15. Nøgletal'!C33</f>
        <v>2304001.0317545678</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6" t="s">
        <v>49</v>
      </c>
      <c r="C24" s="117"/>
      <c r="D24" s="117"/>
      <c r="E24" s="117"/>
      <c r="F24" s="117"/>
      <c r="G24" s="117"/>
      <c r="H24" s="118"/>
      <c r="I24" s="1"/>
    </row>
    <row r="25" spans="1:9" x14ac:dyDescent="0.25">
      <c r="A25" s="1"/>
      <c r="B25" s="119" t="s">
        <v>44</v>
      </c>
      <c r="C25" s="120"/>
      <c r="D25" s="120"/>
      <c r="E25" s="120"/>
      <c r="F25" s="121"/>
      <c r="G25" s="23">
        <f>(G19+G20-G21)*(1+'Fane 15. Nøgletal'!C12)</f>
        <v>115120102.7519265</v>
      </c>
      <c r="H25" s="14" t="s">
        <v>3</v>
      </c>
      <c r="I25" s="1"/>
    </row>
    <row r="26" spans="1:9" x14ac:dyDescent="0.25">
      <c r="A26" s="1"/>
      <c r="B26" s="122" t="s">
        <v>246</v>
      </c>
      <c r="C26" s="123"/>
      <c r="D26" s="123"/>
      <c r="E26" s="123"/>
      <c r="F26" s="124"/>
      <c r="G26" s="66">
        <v>7643985.5070255613</v>
      </c>
      <c r="H26" s="14" t="s">
        <v>3</v>
      </c>
      <c r="I26" s="1"/>
    </row>
    <row r="27" spans="1:9" x14ac:dyDescent="0.25">
      <c r="A27" s="1"/>
      <c r="B27" s="119" t="s">
        <v>45</v>
      </c>
      <c r="C27" s="120"/>
      <c r="D27" s="120"/>
      <c r="E27" s="120"/>
      <c r="F27" s="121"/>
      <c r="G27" s="23">
        <f>(G25+G26)*'Fane 15. Nøgletal'!C33</f>
        <v>2455281.7651790413</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6" t="s">
        <v>52</v>
      </c>
      <c r="C30" s="117"/>
      <c r="D30" s="117"/>
      <c r="E30" s="117"/>
      <c r="F30" s="117"/>
      <c r="G30" s="117"/>
      <c r="H30" s="118"/>
      <c r="I30" s="1"/>
    </row>
    <row r="31" spans="1:9" x14ac:dyDescent="0.25">
      <c r="A31" s="1"/>
      <c r="B31" s="119" t="s">
        <v>53</v>
      </c>
      <c r="C31" s="120"/>
      <c r="D31" s="120"/>
      <c r="E31" s="120"/>
      <c r="F31" s="121"/>
      <c r="G31" s="23">
        <f>(G25+G26-G27)*(1+'Fane 15. Nøgletal'!C12)</f>
        <v>122678889.98170035</v>
      </c>
      <c r="H31" s="14" t="s">
        <v>3</v>
      </c>
      <c r="I31" s="1"/>
    </row>
    <row r="32" spans="1:9" x14ac:dyDescent="0.25">
      <c r="A32" s="1"/>
      <c r="B32" s="119" t="s">
        <v>243</v>
      </c>
      <c r="C32" s="120"/>
      <c r="D32" s="120"/>
      <c r="E32" s="120"/>
      <c r="F32" s="121"/>
      <c r="G32" s="63">
        <v>1660658.42919312</v>
      </c>
      <c r="H32" s="14" t="s">
        <v>3</v>
      </c>
      <c r="I32" s="1"/>
    </row>
    <row r="33" spans="1:9" x14ac:dyDescent="0.25">
      <c r="A33" s="1"/>
      <c r="B33" s="119" t="s">
        <v>54</v>
      </c>
      <c r="C33" s="120"/>
      <c r="D33" s="120"/>
      <c r="E33" s="120"/>
      <c r="F33" s="121"/>
      <c r="G33" s="23">
        <f>(G31+G32)*'Fane 15. Nøgletal'!C33</f>
        <v>2486790.9682178693</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6" t="s">
        <v>126</v>
      </c>
      <c r="C36" s="117"/>
      <c r="D36" s="117"/>
      <c r="E36" s="117"/>
      <c r="F36" s="117"/>
      <c r="G36" s="117"/>
      <c r="H36" s="118"/>
      <c r="I36" s="1"/>
    </row>
    <row r="37" spans="1:9" x14ac:dyDescent="0.25">
      <c r="A37" s="1"/>
      <c r="B37" s="119" t="s">
        <v>68</v>
      </c>
      <c r="C37" s="120"/>
      <c r="D37" s="120"/>
      <c r="E37" s="120"/>
      <c r="F37" s="121"/>
      <c r="G37" s="23">
        <f>(G31+G32-G33)*(1+'Fane 15. Nøgletal'!C14)</f>
        <v>122254871.54223645</v>
      </c>
      <c r="H37" s="14" t="s">
        <v>3</v>
      </c>
      <c r="I37" s="1"/>
    </row>
    <row r="38" spans="1:9" x14ac:dyDescent="0.25">
      <c r="A38" s="1"/>
      <c r="B38" s="119" t="s">
        <v>242</v>
      </c>
      <c r="C38" s="120"/>
      <c r="D38" s="120"/>
      <c r="E38" s="120"/>
      <c r="F38" s="121"/>
      <c r="G38" s="63">
        <v>7041116.3425778607</v>
      </c>
      <c r="H38" s="14" t="s">
        <v>3</v>
      </c>
      <c r="I38" s="1"/>
    </row>
    <row r="39" spans="1:9" x14ac:dyDescent="0.25">
      <c r="A39" s="1"/>
      <c r="B39" s="119" t="s">
        <v>128</v>
      </c>
      <c r="C39" s="120"/>
      <c r="D39" s="120"/>
      <c r="E39" s="120"/>
      <c r="F39" s="121"/>
      <c r="G39" s="23">
        <f>(G37+G38)*'Fane 15. Nøgletal'!C33</f>
        <v>2585919.7576962863</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6" t="s">
        <v>127</v>
      </c>
      <c r="C42" s="117"/>
      <c r="D42" s="117"/>
      <c r="E42" s="117"/>
      <c r="F42" s="117"/>
      <c r="G42" s="117"/>
      <c r="H42" s="118"/>
      <c r="I42" s="1"/>
    </row>
    <row r="43" spans="1:9" x14ac:dyDescent="0.25">
      <c r="A43" s="1"/>
      <c r="B43" s="119" t="s">
        <v>155</v>
      </c>
      <c r="C43" s="120"/>
      <c r="D43" s="120"/>
      <c r="E43" s="120"/>
      <c r="F43" s="121"/>
      <c r="G43" s="23">
        <f>(G37+G38-G39)*(1+'Fane 15. Nøgletal'!C14)</f>
        <v>127128211.35193752</v>
      </c>
      <c r="H43" s="14" t="s">
        <v>3</v>
      </c>
      <c r="I43" s="1"/>
    </row>
    <row r="44" spans="1:9" x14ac:dyDescent="0.25">
      <c r="A44" s="1"/>
      <c r="B44" s="125" t="s">
        <v>157</v>
      </c>
      <c r="C44" s="126"/>
      <c r="D44" s="126"/>
      <c r="E44" s="126"/>
      <c r="F44" s="127"/>
      <c r="G44" s="45">
        <v>1584576.9592041601</v>
      </c>
      <c r="H44" s="14" t="s">
        <v>3</v>
      </c>
      <c r="I44" s="1"/>
    </row>
    <row r="45" spans="1:9" x14ac:dyDescent="0.25">
      <c r="A45" s="1"/>
      <c r="B45" s="119" t="s">
        <v>129</v>
      </c>
      <c r="C45" s="120"/>
      <c r="D45" s="120"/>
      <c r="E45" s="120"/>
      <c r="F45" s="121"/>
      <c r="G45" s="23">
        <f>SUM(G43:G44)*'Fane 15. Nøgletal'!C33</f>
        <v>2574255.7662228337</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6" t="s">
        <v>192</v>
      </c>
      <c r="C51" s="117"/>
      <c r="D51" s="117"/>
      <c r="E51" s="117"/>
      <c r="F51" s="117"/>
      <c r="G51" s="117"/>
      <c r="H51" s="118"/>
      <c r="I51" s="1"/>
    </row>
    <row r="52" spans="1:9" x14ac:dyDescent="0.25">
      <c r="A52" s="1"/>
      <c r="B52" s="119" t="s">
        <v>154</v>
      </c>
      <c r="C52" s="120"/>
      <c r="D52" s="120"/>
      <c r="E52" s="120"/>
      <c r="F52" s="121"/>
      <c r="G52" s="23">
        <f>(G43+G44-G45)*(1+'Fane 15. Nøgletal'!C16)</f>
        <v>136330525.97454828</v>
      </c>
      <c r="H52" s="14" t="s">
        <v>3</v>
      </c>
      <c r="I52" s="1"/>
    </row>
    <row r="53" spans="1:9" x14ac:dyDescent="0.25">
      <c r="A53" s="1"/>
      <c r="B53" s="77" t="s">
        <v>194</v>
      </c>
      <c r="C53" s="78"/>
      <c r="D53" s="78"/>
      <c r="E53" s="78"/>
      <c r="F53" s="79"/>
      <c r="G53" s="23">
        <f>('Fane 2.1. Økonomisk ramme 2024'!C10+'Fane 2.1. Økonomisk ramme 2024'!C12+'Fane 2.1. Økonomisk ramme 2024'!C14)*(1+'Fane 15. Nøgletal'!C16)</f>
        <v>3553721.8331104</v>
      </c>
      <c r="H53" s="14" t="s">
        <v>3</v>
      </c>
      <c r="I53" s="1"/>
    </row>
    <row r="54" spans="1:9" x14ac:dyDescent="0.25">
      <c r="A54" s="1"/>
      <c r="B54" s="119" t="s">
        <v>210</v>
      </c>
      <c r="C54" s="120"/>
      <c r="D54" s="120"/>
      <c r="E54" s="120"/>
      <c r="F54" s="121"/>
      <c r="G54" s="23">
        <f>(G52)*'Fane 15. Nøgletal'!C33+(G53)*'Fane 15. Nøgletal'!C33</f>
        <v>2797684.9561531735</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6" t="s">
        <v>193</v>
      </c>
      <c r="C57" s="117"/>
      <c r="D57" s="117"/>
      <c r="E57" s="117"/>
      <c r="F57" s="117"/>
      <c r="G57" s="117"/>
      <c r="H57" s="118"/>
      <c r="I57" s="1"/>
    </row>
    <row r="58" spans="1:9" x14ac:dyDescent="0.25">
      <c r="A58" s="1"/>
      <c r="B58" s="77" t="s">
        <v>212</v>
      </c>
      <c r="C58" s="78"/>
      <c r="D58" s="78"/>
      <c r="E58" s="78"/>
      <c r="F58" s="79"/>
      <c r="G58" s="23">
        <f>(G52+G53-G54)*(1+'Fane 15. Nøgletal'!C16)</f>
        <v>148163157.12990713</v>
      </c>
      <c r="H58" s="14" t="s">
        <v>3</v>
      </c>
      <c r="I58" s="1"/>
    </row>
    <row r="59" spans="1:9" x14ac:dyDescent="0.25">
      <c r="A59" s="1"/>
      <c r="B59" s="77" t="s">
        <v>211</v>
      </c>
      <c r="C59" s="78"/>
      <c r="D59" s="78"/>
      <c r="E59" s="78"/>
      <c r="F59" s="79"/>
      <c r="G59" s="23">
        <f>(G58)*'Fane 15. Nøgletal'!C33</f>
        <v>2963263.1425981428</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6" t="s">
        <v>256</v>
      </c>
      <c r="C62" s="117"/>
      <c r="D62" s="117"/>
      <c r="E62" s="117"/>
      <c r="F62" s="117"/>
      <c r="G62" s="117"/>
      <c r="H62" s="118"/>
      <c r="I62" s="1"/>
    </row>
    <row r="63" spans="1:9" x14ac:dyDescent="0.25">
      <c r="A63" s="1"/>
      <c r="B63" s="77" t="s">
        <v>213</v>
      </c>
      <c r="C63" s="78"/>
      <c r="D63" s="78"/>
      <c r="E63" s="78"/>
      <c r="F63" s="79"/>
      <c r="G63" s="23">
        <f>(G58-G59)*(1+'Fane 15. Nøgletal'!C16)</f>
        <v>156932045.42148355</v>
      </c>
      <c r="H63" s="14" t="s">
        <v>3</v>
      </c>
      <c r="I63" s="1"/>
    </row>
    <row r="64" spans="1:9" x14ac:dyDescent="0.25">
      <c r="A64" s="1"/>
      <c r="B64" s="77" t="s">
        <v>214</v>
      </c>
      <c r="C64" s="78"/>
      <c r="D64" s="78"/>
      <c r="E64" s="78"/>
      <c r="F64" s="79"/>
      <c r="G64" s="23">
        <f>(G63)*'Fane 15. Nøgletal'!C33</f>
        <v>3138640.9084296711</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6" t="s">
        <v>257</v>
      </c>
      <c r="C67" s="117"/>
      <c r="D67" s="117"/>
      <c r="E67" s="117"/>
      <c r="F67" s="117"/>
      <c r="G67" s="117"/>
      <c r="H67" s="118"/>
      <c r="I67" s="1"/>
    </row>
    <row r="68" spans="1:9" x14ac:dyDescent="0.25">
      <c r="A68" s="1"/>
      <c r="B68" s="77" t="s">
        <v>213</v>
      </c>
      <c r="C68" s="78"/>
      <c r="D68" s="78"/>
      <c r="E68" s="78"/>
      <c r="F68" s="79"/>
      <c r="G68" s="23">
        <f>(G63-G64)*(1+'Fane 15. Nøgletal'!C16)</f>
        <v>166219911.59770861</v>
      </c>
      <c r="H68" s="14" t="s">
        <v>3</v>
      </c>
      <c r="I68" s="1"/>
    </row>
    <row r="69" spans="1:9" x14ac:dyDescent="0.25">
      <c r="A69" s="1"/>
      <c r="B69" s="77" t="s">
        <v>214</v>
      </c>
      <c r="C69" s="78"/>
      <c r="D69" s="78"/>
      <c r="E69" s="78"/>
      <c r="F69" s="79"/>
      <c r="G69" s="23">
        <f>(G68)*'Fane 15. Nøgletal'!C33</f>
        <v>3324398.2319541723</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iXct374vhlRlh077VO4wEYkiASZxvTs2B+LDpDQKUtLSXInBADBMhdOgVO8YpXCYtpXv/gYoRAw1g0XD1Uodtg==" saltValue="e4zMB+4BjRcyHvXLC9juHw==" spinCount="100000" sheet="1" objects="1" scenarios="1"/>
  <mergeCells count="37">
    <mergeCell ref="B67:H67"/>
    <mergeCell ref="B54:F54"/>
    <mergeCell ref="B37:F37"/>
    <mergeCell ref="B32:F32"/>
    <mergeCell ref="B33:F33"/>
    <mergeCell ref="B42:H42"/>
    <mergeCell ref="B43:F43"/>
    <mergeCell ref="B45:F45"/>
    <mergeCell ref="B38:F38"/>
    <mergeCell ref="B39:F39"/>
    <mergeCell ref="B44:F4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28" t="s">
        <v>92</v>
      </c>
      <c r="C1" s="128"/>
      <c r="D1" s="128"/>
      <c r="E1" s="128"/>
      <c r="F1" s="128"/>
      <c r="G1" s="128"/>
      <c r="H1" s="128"/>
      <c r="I1" s="1"/>
    </row>
    <row r="2" spans="1:9" ht="15" customHeight="1" x14ac:dyDescent="0.25">
      <c r="A2" s="1"/>
      <c r="B2" s="128"/>
      <c r="C2" s="128"/>
      <c r="D2" s="128"/>
      <c r="E2" s="128"/>
      <c r="F2" s="128"/>
      <c r="G2" s="128"/>
      <c r="H2" s="128"/>
      <c r="I2" s="1"/>
    </row>
    <row r="3" spans="1:9" ht="15" customHeight="1" x14ac:dyDescent="0.25">
      <c r="A3" s="1"/>
      <c r="B3" s="129"/>
      <c r="C3" s="129"/>
      <c r="D3" s="129"/>
      <c r="E3" s="129"/>
      <c r="F3" s="129"/>
      <c r="G3" s="129"/>
      <c r="H3" s="129"/>
      <c r="I3" s="1"/>
    </row>
    <row r="4" spans="1:9" x14ac:dyDescent="0.25">
      <c r="A4" s="1"/>
      <c r="B4" s="116" t="s">
        <v>50</v>
      </c>
      <c r="C4" s="117"/>
      <c r="D4" s="117"/>
      <c r="E4" s="117"/>
      <c r="F4" s="117"/>
      <c r="G4" s="117"/>
      <c r="H4" s="118"/>
      <c r="I4" s="1"/>
    </row>
    <row r="5" spans="1:9" x14ac:dyDescent="0.25">
      <c r="A5" s="1"/>
      <c r="B5" s="119" t="s">
        <v>55</v>
      </c>
      <c r="C5" s="120"/>
      <c r="D5" s="120"/>
      <c r="E5" s="120"/>
      <c r="F5" s="121"/>
      <c r="G5" s="63">
        <v>245120337.71620587</v>
      </c>
      <c r="H5" s="14" t="s">
        <v>3</v>
      </c>
      <c r="I5" s="1"/>
    </row>
    <row r="6" spans="1:9" x14ac:dyDescent="0.25">
      <c r="A6" s="1"/>
      <c r="B6" s="119" t="s">
        <v>51</v>
      </c>
      <c r="C6" s="120"/>
      <c r="D6" s="120"/>
      <c r="E6" s="120"/>
      <c r="F6" s="121"/>
      <c r="G6" s="23">
        <f>G5*'Fane 15. Nøgletal'!C21</f>
        <v>2230595.0732174735</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6" t="s">
        <v>56</v>
      </c>
      <c r="C9" s="117"/>
      <c r="D9" s="117"/>
      <c r="E9" s="117"/>
      <c r="F9" s="117"/>
      <c r="G9" s="117"/>
      <c r="H9" s="118"/>
      <c r="I9" s="1"/>
    </row>
    <row r="10" spans="1:9" x14ac:dyDescent="0.25">
      <c r="A10" s="1"/>
      <c r="B10" s="119" t="s">
        <v>57</v>
      </c>
      <c r="C10" s="120"/>
      <c r="D10" s="120"/>
      <c r="E10" s="120"/>
      <c r="F10" s="121"/>
      <c r="G10" s="23">
        <f>(G5-G6)*(1+'Fane 15. Nøgletal'!C10)</f>
        <v>247140313.13924071</v>
      </c>
      <c r="H10" s="14" t="s">
        <v>3</v>
      </c>
      <c r="I10" s="1"/>
    </row>
    <row r="11" spans="1:9" x14ac:dyDescent="0.25">
      <c r="A11" s="1"/>
      <c r="B11" s="119" t="s">
        <v>104</v>
      </c>
      <c r="C11" s="120"/>
      <c r="D11" s="120"/>
      <c r="E11" s="120"/>
      <c r="F11" s="121"/>
      <c r="G11" s="63">
        <v>3692204.0895872349</v>
      </c>
      <c r="H11" s="14" t="s">
        <v>3</v>
      </c>
      <c r="I11" s="1"/>
    </row>
    <row r="12" spans="1:9" x14ac:dyDescent="0.25">
      <c r="A12" s="1"/>
      <c r="B12" s="122" t="s">
        <v>247</v>
      </c>
      <c r="C12" s="123"/>
      <c r="D12" s="123"/>
      <c r="E12" s="123"/>
      <c r="F12" s="124"/>
      <c r="G12" s="66">
        <v>0</v>
      </c>
      <c r="H12" s="14" t="s">
        <v>3</v>
      </c>
      <c r="I12" s="1"/>
    </row>
    <row r="13" spans="1:9" x14ac:dyDescent="0.25">
      <c r="A13" s="1"/>
      <c r="B13" s="119" t="s">
        <v>58</v>
      </c>
      <c r="C13" s="120"/>
      <c r="D13" s="120"/>
      <c r="E13" s="120"/>
      <c r="F13" s="121"/>
      <c r="G13" s="23">
        <f>SUM(G10:G12)*'Fane 15. Nøgletal'!C22</f>
        <v>4439735.554950255</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6" t="s">
        <v>59</v>
      </c>
      <c r="C16" s="117"/>
      <c r="D16" s="117"/>
      <c r="E16" s="117"/>
      <c r="F16" s="117"/>
      <c r="G16" s="117"/>
      <c r="H16" s="118"/>
      <c r="I16" s="1"/>
    </row>
    <row r="17" spans="1:9" x14ac:dyDescent="0.25">
      <c r="A17" s="1"/>
      <c r="B17" s="119" t="s">
        <v>60</v>
      </c>
      <c r="C17" s="120"/>
      <c r="D17" s="120"/>
      <c r="E17" s="120"/>
      <c r="F17" s="121"/>
      <c r="G17" s="23">
        <f>(SUM(G10:G12)-G13)*(1+'Fane 15. Nøgletal'!C10)</f>
        <v>250704655.35317057</v>
      </c>
      <c r="H17" s="14" t="s">
        <v>3</v>
      </c>
      <c r="I17" s="1"/>
    </row>
    <row r="18" spans="1:9" x14ac:dyDescent="0.25">
      <c r="A18" s="1"/>
      <c r="B18" s="122" t="s">
        <v>248</v>
      </c>
      <c r="C18" s="123"/>
      <c r="D18" s="123"/>
      <c r="E18" s="123"/>
      <c r="F18" s="124"/>
      <c r="G18" s="63">
        <v>5302594.5318140984</v>
      </c>
      <c r="H18" s="14" t="s">
        <v>3</v>
      </c>
      <c r="I18" s="1"/>
    </row>
    <row r="19" spans="1:9" x14ac:dyDescent="0.25">
      <c r="A19" s="1"/>
      <c r="B19" s="119" t="s">
        <v>61</v>
      </c>
      <c r="C19" s="120"/>
      <c r="D19" s="120"/>
      <c r="E19" s="120"/>
      <c r="F19" s="121"/>
      <c r="G19" s="23">
        <f>G17*'Fane 15. Nøgletal'!C22+G18*'Fane 15. Nøgletal'!C23</f>
        <v>4483604.9721779022</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6" t="s">
        <v>62</v>
      </c>
      <c r="C22" s="117"/>
      <c r="D22" s="117"/>
      <c r="E22" s="117"/>
      <c r="F22" s="117"/>
      <c r="G22" s="117"/>
      <c r="H22" s="118"/>
      <c r="I22" s="1"/>
    </row>
    <row r="23" spans="1:9" x14ac:dyDescent="0.25">
      <c r="A23" s="1"/>
      <c r="B23" s="119" t="s">
        <v>63</v>
      </c>
      <c r="C23" s="120"/>
      <c r="D23" s="120"/>
      <c r="E23" s="120"/>
      <c r="F23" s="121"/>
      <c r="G23" s="23">
        <f>(G17+G18-G19)*(1+'Fane 15. Nøgletal'!C12)</f>
        <v>256478660.71758908</v>
      </c>
      <c r="H23" s="14" t="s">
        <v>3</v>
      </c>
      <c r="I23" s="1"/>
    </row>
    <row r="24" spans="1:9" x14ac:dyDescent="0.25">
      <c r="A24" s="1"/>
      <c r="B24" s="122" t="s">
        <v>249</v>
      </c>
      <c r="C24" s="123"/>
      <c r="D24" s="123"/>
      <c r="E24" s="123"/>
      <c r="F24" s="124"/>
      <c r="G24" s="63">
        <v>8030814.7507839901</v>
      </c>
      <c r="H24" s="14" t="s">
        <v>3</v>
      </c>
      <c r="I24" s="1"/>
    </row>
    <row r="25" spans="1:9" x14ac:dyDescent="0.25">
      <c r="A25" s="1"/>
      <c r="B25" s="119" t="s">
        <v>64</v>
      </c>
      <c r="C25" s="120"/>
      <c r="D25" s="120"/>
      <c r="E25" s="120"/>
      <c r="F25" s="121"/>
      <c r="G25" s="23">
        <f>(G23+G24)*'Fane 15. Nøgletal'!C24</f>
        <v>7512069.1033017952</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6" t="s">
        <v>65</v>
      </c>
      <c r="C28" s="117"/>
      <c r="D28" s="117"/>
      <c r="E28" s="117"/>
      <c r="F28" s="117"/>
      <c r="G28" s="117"/>
      <c r="H28" s="118"/>
      <c r="I28" s="1"/>
    </row>
    <row r="29" spans="1:9" x14ac:dyDescent="0.25">
      <c r="A29" s="1"/>
      <c r="B29" s="119" t="s">
        <v>66</v>
      </c>
      <c r="C29" s="120"/>
      <c r="D29" s="120"/>
      <c r="E29" s="120"/>
      <c r="F29" s="121"/>
      <c r="G29" s="23">
        <f>(G23+G24-G25)*(1+'Fane 15. Nøgletal'!C12)</f>
        <v>262060255.2704632</v>
      </c>
      <c r="H29" s="14" t="s">
        <v>3</v>
      </c>
      <c r="I29" s="1"/>
    </row>
    <row r="30" spans="1:9" x14ac:dyDescent="0.25">
      <c r="A30" s="1"/>
      <c r="B30" s="119" t="s">
        <v>250</v>
      </c>
      <c r="C30" s="120"/>
      <c r="D30" s="120"/>
      <c r="E30" s="120"/>
      <c r="F30" s="121"/>
      <c r="G30" s="63">
        <v>8875770.0803528391</v>
      </c>
      <c r="H30" s="14" t="s">
        <v>3</v>
      </c>
      <c r="I30" s="1"/>
    </row>
    <row r="31" spans="1:9" x14ac:dyDescent="0.25">
      <c r="A31" s="1"/>
      <c r="B31" s="119" t="s">
        <v>67</v>
      </c>
      <c r="C31" s="120"/>
      <c r="D31" s="120"/>
      <c r="E31" s="120"/>
      <c r="F31" s="121"/>
      <c r="G31" s="23">
        <f>G29*'Fane 15. Nøgletal'!C24+G30*'Fane 15. Nøgletal'!C25</f>
        <v>7686594.9268908584</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6" t="s">
        <v>130</v>
      </c>
      <c r="C34" s="117"/>
      <c r="D34" s="117"/>
      <c r="E34" s="117"/>
      <c r="F34" s="117"/>
      <c r="G34" s="117"/>
      <c r="H34" s="118"/>
      <c r="I34" s="1"/>
    </row>
    <row r="35" spans="1:9" x14ac:dyDescent="0.25">
      <c r="A35" s="1"/>
      <c r="B35" s="119" t="s">
        <v>215</v>
      </c>
      <c r="C35" s="120"/>
      <c r="D35" s="120"/>
      <c r="E35" s="120"/>
      <c r="F35" s="121"/>
      <c r="G35" s="23">
        <f>(G29+G30-G31)*(1+'Fane 15. Nøgletal'!C14)</f>
        <v>264118153.54432413</v>
      </c>
      <c r="H35" s="14" t="s">
        <v>3</v>
      </c>
      <c r="I35" s="1"/>
    </row>
    <row r="36" spans="1:9" x14ac:dyDescent="0.25">
      <c r="A36" s="1"/>
      <c r="B36" s="119" t="s">
        <v>251</v>
      </c>
      <c r="C36" s="120"/>
      <c r="D36" s="120"/>
      <c r="E36" s="120"/>
      <c r="F36" s="121"/>
      <c r="G36" s="63">
        <v>2740937.0303730401</v>
      </c>
      <c r="H36" s="14" t="s">
        <v>3</v>
      </c>
      <c r="I36" s="1"/>
    </row>
    <row r="37" spans="1:9" x14ac:dyDescent="0.25">
      <c r="A37" s="1"/>
      <c r="B37" s="119" t="s">
        <v>131</v>
      </c>
      <c r="C37" s="120"/>
      <c r="D37" s="120"/>
      <c r="E37" s="120"/>
      <c r="F37" s="121"/>
      <c r="G37" s="23">
        <f>(G35+G36)*'Fane 15. Nøgletal'!C26</f>
        <v>3949514.5405055182</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6" t="s">
        <v>151</v>
      </c>
      <c r="C40" s="117"/>
      <c r="D40" s="117"/>
      <c r="E40" s="117"/>
      <c r="F40" s="117"/>
      <c r="G40" s="117"/>
      <c r="H40" s="118"/>
      <c r="I40" s="1"/>
    </row>
    <row r="41" spans="1:9" x14ac:dyDescent="0.25">
      <c r="A41" s="1"/>
      <c r="B41" s="119" t="s">
        <v>216</v>
      </c>
      <c r="C41" s="120"/>
      <c r="D41" s="120"/>
      <c r="E41" s="120"/>
      <c r="F41" s="121"/>
      <c r="G41" s="23">
        <f>(G35+G36-G37)*(1+'Fane 15. Nøgletal'!C14)</f>
        <v>263777177.63510448</v>
      </c>
      <c r="H41" s="14" t="s">
        <v>3</v>
      </c>
      <c r="I41" s="1"/>
    </row>
    <row r="42" spans="1:9" x14ac:dyDescent="0.25">
      <c r="A42" s="1"/>
      <c r="B42" s="40" t="s">
        <v>156</v>
      </c>
      <c r="C42" s="78"/>
      <c r="D42" s="78"/>
      <c r="E42" s="78"/>
      <c r="F42" s="79"/>
      <c r="G42" s="23">
        <v>3550893.3128635203</v>
      </c>
      <c r="H42" s="14" t="s">
        <v>3</v>
      </c>
      <c r="I42" s="1"/>
    </row>
    <row r="43" spans="1:9" x14ac:dyDescent="0.25">
      <c r="A43" s="1"/>
      <c r="B43" s="119" t="s">
        <v>132</v>
      </c>
      <c r="C43" s="120"/>
      <c r="D43" s="120"/>
      <c r="E43" s="120"/>
      <c r="F43" s="121"/>
      <c r="G43" s="23">
        <f>(G41)*'Fane 15. Nøgletal'!C26+G42*'Fane 15. Nøgletal'!C27</f>
        <v>3903902.2289995463</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6" t="s">
        <v>259</v>
      </c>
      <c r="C52" s="117"/>
      <c r="D52" s="117"/>
      <c r="E52" s="117"/>
      <c r="F52" s="117"/>
      <c r="G52" s="117"/>
      <c r="H52" s="118"/>
      <c r="I52" s="1"/>
    </row>
    <row r="53" spans="1:9" x14ac:dyDescent="0.25">
      <c r="A53" s="1"/>
      <c r="B53" s="119" t="s">
        <v>217</v>
      </c>
      <c r="C53" s="120"/>
      <c r="D53" s="120"/>
      <c r="E53" s="120"/>
      <c r="F53" s="121"/>
      <c r="G53" s="23">
        <f>(G41+G42-G43)*(1+'Fane 15. Nøgletal'!C16)</f>
        <v>284708841.5514611</v>
      </c>
      <c r="H53" s="14" t="s">
        <v>3</v>
      </c>
      <c r="I53" s="1"/>
    </row>
    <row r="54" spans="1:9" x14ac:dyDescent="0.25">
      <c r="A54" s="1"/>
      <c r="B54" s="77" t="s">
        <v>195</v>
      </c>
      <c r="C54" s="78"/>
      <c r="D54" s="78"/>
      <c r="E54" s="78"/>
      <c r="F54" s="79"/>
      <c r="G54" s="23">
        <f>('Fane 2.1. Økonomisk ramme 2024'!C11+'Fane 2.1. Økonomisk ramme 2024'!C13+'Fane 2.1. Økonomisk ramme 2024'!C15)*(1+'Fane 15. Nøgletal'!C16)</f>
        <v>2974146.6314739198</v>
      </c>
      <c r="H54" s="14" t="s">
        <v>3</v>
      </c>
      <c r="I54" s="1"/>
    </row>
    <row r="55" spans="1:9" x14ac:dyDescent="0.25">
      <c r="A55" s="1"/>
      <c r="B55" s="119" t="s">
        <v>218</v>
      </c>
      <c r="C55" s="120"/>
      <c r="D55" s="120"/>
      <c r="E55" s="120"/>
      <c r="F55" s="121"/>
      <c r="G55" s="66">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6" t="s">
        <v>258</v>
      </c>
      <c r="C58" s="117"/>
      <c r="D58" s="117"/>
      <c r="E58" s="117"/>
      <c r="F58" s="117"/>
      <c r="G58" s="117"/>
      <c r="H58" s="118"/>
      <c r="I58" s="1"/>
    </row>
    <row r="59" spans="1:9" x14ac:dyDescent="0.25">
      <c r="A59" s="1"/>
      <c r="B59" s="119" t="s">
        <v>219</v>
      </c>
      <c r="C59" s="120"/>
      <c r="D59" s="120"/>
      <c r="E59" s="120"/>
      <c r="F59" s="121"/>
      <c r="G59" s="23">
        <f>(G53+G54-G55)*(1+'Fane 15. Nøgletal'!C16)</f>
        <v>310927773.62811613</v>
      </c>
      <c r="H59" s="14" t="s">
        <v>3</v>
      </c>
      <c r="I59" s="1"/>
    </row>
    <row r="60" spans="1:9" x14ac:dyDescent="0.25">
      <c r="A60" s="1"/>
      <c r="B60" s="119" t="s">
        <v>220</v>
      </c>
      <c r="C60" s="120"/>
      <c r="D60" s="120"/>
      <c r="E60" s="120"/>
      <c r="F60" s="121"/>
      <c r="G60" s="66">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6" t="s">
        <v>141</v>
      </c>
      <c r="C63" s="117"/>
      <c r="D63" s="117"/>
      <c r="E63" s="117"/>
      <c r="F63" s="117"/>
      <c r="G63" s="117"/>
      <c r="H63" s="118"/>
      <c r="I63" s="1"/>
    </row>
    <row r="64" spans="1:9" x14ac:dyDescent="0.25">
      <c r="A64" s="1"/>
      <c r="B64" s="119" t="s">
        <v>221</v>
      </c>
      <c r="C64" s="120"/>
      <c r="D64" s="120"/>
      <c r="E64" s="120"/>
      <c r="F64" s="121"/>
      <c r="G64" s="23">
        <f>(G59-G60)*(1+'Fane 15. Nøgletal'!C16)</f>
        <v>336050737.73726791</v>
      </c>
      <c r="H64" s="14" t="s">
        <v>3</v>
      </c>
      <c r="I64" s="1"/>
    </row>
    <row r="65" spans="1:9" x14ac:dyDescent="0.25">
      <c r="A65" s="1"/>
      <c r="B65" s="119" t="s">
        <v>222</v>
      </c>
      <c r="C65" s="120"/>
      <c r="D65" s="120"/>
      <c r="E65" s="120"/>
      <c r="F65" s="121"/>
      <c r="G65" s="66">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6" t="s">
        <v>223</v>
      </c>
      <c r="C68" s="117"/>
      <c r="D68" s="117"/>
      <c r="E68" s="117"/>
      <c r="F68" s="117"/>
      <c r="G68" s="117"/>
      <c r="H68" s="118"/>
      <c r="I68" s="1"/>
    </row>
    <row r="69" spans="1:9" x14ac:dyDescent="0.25">
      <c r="A69" s="1"/>
      <c r="B69" s="119" t="s">
        <v>221</v>
      </c>
      <c r="C69" s="120"/>
      <c r="D69" s="120"/>
      <c r="E69" s="120"/>
      <c r="F69" s="121"/>
      <c r="G69" s="23">
        <f>(G64-G65)*(1+'Fane 15. Nøgletal'!C16)</f>
        <v>363203637.34643912</v>
      </c>
      <c r="H69" s="14" t="s">
        <v>3</v>
      </c>
      <c r="I69" s="1"/>
    </row>
    <row r="70" spans="1:9" x14ac:dyDescent="0.25">
      <c r="A70" s="1"/>
      <c r="B70" s="119" t="s">
        <v>222</v>
      </c>
      <c r="C70" s="120"/>
      <c r="D70" s="120"/>
      <c r="E70" s="120"/>
      <c r="F70" s="121"/>
      <c r="G70" s="66">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SVsTn+DZ/Dzz+Lhxegkz592jWXOJkktheYI7nGdR64KNvb9X8tttDyvo+L/mlbwe6n/xdtPxRnESI3xPCwRRTg==" saltValue="eG3dTRU5He+cYVEPGdZHZQ==" spinCount="100000" sheet="1" objects="1" scenarios="1"/>
  <mergeCells count="40">
    <mergeCell ref="B58:H58"/>
    <mergeCell ref="B59:F59"/>
    <mergeCell ref="B60:F60"/>
    <mergeCell ref="B41:F41"/>
    <mergeCell ref="B37:F37"/>
    <mergeCell ref="B40:H40"/>
    <mergeCell ref="B16:H16"/>
    <mergeCell ref="B17:F17"/>
    <mergeCell ref="B31:F31"/>
    <mergeCell ref="B34:H34"/>
    <mergeCell ref="B36:F36"/>
    <mergeCell ref="B24:F24"/>
    <mergeCell ref="B25:F25"/>
    <mergeCell ref="B18:F18"/>
    <mergeCell ref="B30:F30"/>
    <mergeCell ref="B22:H22"/>
    <mergeCell ref="B28:H28"/>
    <mergeCell ref="B29:F29"/>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68:H68"/>
    <mergeCell ref="B69:F69"/>
    <mergeCell ref="B70:F70"/>
    <mergeCell ref="B63:H63"/>
    <mergeCell ref="B64:F64"/>
    <mergeCell ref="B65:F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09" t="s">
        <v>76</v>
      </c>
      <c r="C3" s="109"/>
      <c r="D3" s="109"/>
      <c r="E3" s="109"/>
      <c r="F3" s="109"/>
      <c r="G3" s="109"/>
      <c r="H3" s="1"/>
    </row>
    <row r="4" spans="1:8" ht="15" customHeight="1" x14ac:dyDescent="0.25">
      <c r="A4" s="1"/>
      <c r="B4" s="109"/>
      <c r="C4" s="109"/>
      <c r="D4" s="109"/>
      <c r="E4" s="109"/>
      <c r="F4" s="109"/>
      <c r="G4" s="109"/>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6" t="s">
        <v>10</v>
      </c>
      <c r="C8" s="117"/>
      <c r="D8" s="117"/>
      <c r="E8" s="117"/>
      <c r="F8" s="117"/>
      <c r="G8" s="118"/>
      <c r="H8" s="1"/>
    </row>
    <row r="9" spans="1:8" x14ac:dyDescent="0.25">
      <c r="A9" s="1"/>
      <c r="B9" s="119" t="s">
        <v>271</v>
      </c>
      <c r="C9" s="120"/>
      <c r="D9" s="120"/>
      <c r="E9" s="120"/>
      <c r="F9" s="121"/>
      <c r="G9" s="22">
        <v>0</v>
      </c>
      <c r="H9" s="1"/>
    </row>
    <row r="10" spans="1:8" x14ac:dyDescent="0.25">
      <c r="A10" s="1"/>
      <c r="B10" s="33"/>
      <c r="C10" s="28"/>
      <c r="D10" s="28"/>
      <c r="E10" s="28"/>
      <c r="F10" s="28"/>
      <c r="G10" s="19"/>
      <c r="H10" s="1"/>
    </row>
    <row r="11" spans="1:8" ht="33" customHeight="1" x14ac:dyDescent="0.25">
      <c r="A11" s="1"/>
      <c r="B11" s="130" t="s">
        <v>264</v>
      </c>
      <c r="C11" s="130"/>
      <c r="D11" s="130"/>
      <c r="E11" s="130"/>
      <c r="F11" s="130"/>
      <c r="G11" s="130"/>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Rl0368FOhu+88Ht0BFF61vzTRj7oUt7E9ivCyVLHYwL/yMhEVU3UE4U2TOqLZ9LtDBhhQrcylS+mYPcncRsgpQ==" saltValue="NTLno5Jg1KzcC/hiKsUqhw=="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7"/>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9" t="s">
        <v>93</v>
      </c>
      <c r="C3" s="109"/>
      <c r="D3" s="109"/>
      <c r="E3" s="1"/>
      <c r="F3" s="1"/>
    </row>
    <row r="4" spans="1:6" ht="15" customHeight="1" x14ac:dyDescent="0.25">
      <c r="A4" s="1"/>
      <c r="B4" s="109"/>
      <c r="C4" s="109"/>
      <c r="D4" s="109"/>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6" t="s">
        <v>224</v>
      </c>
      <c r="C8" s="117"/>
      <c r="D8" s="118"/>
      <c r="E8" s="1"/>
      <c r="F8" s="1"/>
    </row>
    <row r="9" spans="1:6" ht="15" customHeight="1" x14ac:dyDescent="0.25">
      <c r="A9" s="1"/>
      <c r="B9" s="27" t="s">
        <v>29</v>
      </c>
      <c r="C9" s="50" t="s">
        <v>225</v>
      </c>
      <c r="D9" s="11"/>
      <c r="E9" s="1"/>
      <c r="F9" s="1"/>
    </row>
    <row r="10" spans="1:6" ht="15" customHeight="1" x14ac:dyDescent="0.25">
      <c r="A10" s="1"/>
      <c r="B10" s="80" t="s">
        <v>284</v>
      </c>
      <c r="C10" s="9">
        <v>6432986</v>
      </c>
      <c r="D10" s="14" t="s">
        <v>3</v>
      </c>
      <c r="E10" s="1"/>
      <c r="F10" s="1"/>
    </row>
    <row r="11" spans="1:6" ht="15" customHeight="1" x14ac:dyDescent="0.25">
      <c r="A11" s="1"/>
      <c r="B11" s="80" t="s">
        <v>285</v>
      </c>
      <c r="C11" s="9">
        <v>439209</v>
      </c>
      <c r="D11" s="14" t="s">
        <v>3</v>
      </c>
      <c r="E11" s="1"/>
      <c r="F11" s="1"/>
    </row>
    <row r="12" spans="1:6" x14ac:dyDescent="0.25">
      <c r="A12" s="1"/>
      <c r="B12" s="80" t="s">
        <v>286</v>
      </c>
      <c r="C12" s="9">
        <v>1877871</v>
      </c>
      <c r="D12" s="14" t="s">
        <v>3</v>
      </c>
      <c r="E12" s="1"/>
      <c r="F12" s="1"/>
    </row>
    <row r="13" spans="1:6" x14ac:dyDescent="0.25">
      <c r="A13" s="1"/>
      <c r="B13" s="80" t="s">
        <v>287</v>
      </c>
      <c r="C13" s="9">
        <v>1317194</v>
      </c>
      <c r="D13" s="14" t="s">
        <v>3</v>
      </c>
      <c r="E13" s="1"/>
      <c r="F13" s="1"/>
    </row>
    <row r="14" spans="1:6" x14ac:dyDescent="0.25">
      <c r="A14" s="1"/>
      <c r="B14" s="80" t="s">
        <v>288</v>
      </c>
      <c r="C14" s="9">
        <v>6565542</v>
      </c>
      <c r="D14" s="14" t="s">
        <v>3</v>
      </c>
      <c r="E14" s="1"/>
      <c r="F14" s="1"/>
    </row>
    <row r="15" spans="1:6" x14ac:dyDescent="0.25">
      <c r="A15" s="1"/>
      <c r="B15" s="80" t="s">
        <v>289</v>
      </c>
      <c r="C15" s="9">
        <v>1375598</v>
      </c>
      <c r="D15" s="14" t="s">
        <v>3</v>
      </c>
      <c r="E15" s="1"/>
      <c r="F15" s="1"/>
    </row>
    <row r="16" spans="1:6" x14ac:dyDescent="0.25">
      <c r="A16" s="1"/>
      <c r="B16" s="80"/>
      <c r="C16" s="9"/>
      <c r="D16" s="14" t="s">
        <v>3</v>
      </c>
      <c r="E16" s="1"/>
      <c r="F16" s="1"/>
    </row>
    <row r="17" spans="1:6" x14ac:dyDescent="0.25">
      <c r="A17" s="1"/>
      <c r="B17" s="80"/>
      <c r="C17" s="9"/>
      <c r="D17" s="14" t="s">
        <v>3</v>
      </c>
      <c r="E17" s="1"/>
      <c r="F17" s="1"/>
    </row>
    <row r="18" spans="1:6" x14ac:dyDescent="0.25">
      <c r="A18" s="1"/>
      <c r="B18" s="80"/>
      <c r="C18" s="9"/>
      <c r="D18" s="14" t="s">
        <v>3</v>
      </c>
      <c r="E18" s="1"/>
      <c r="F18" s="1"/>
    </row>
    <row r="19" spans="1:6" x14ac:dyDescent="0.25">
      <c r="A19" s="1"/>
      <c r="B19" s="80"/>
      <c r="C19" s="9"/>
      <c r="D19" s="14" t="s">
        <v>3</v>
      </c>
      <c r="E19" s="1"/>
      <c r="F19" s="1"/>
    </row>
    <row r="20" spans="1:6" x14ac:dyDescent="0.25">
      <c r="A20" s="1"/>
      <c r="B20" s="33" t="s">
        <v>226</v>
      </c>
      <c r="C20" s="12">
        <f>SUM(C10:C19)</f>
        <v>18008400</v>
      </c>
      <c r="D20" s="13" t="s">
        <v>3</v>
      </c>
      <c r="E20" s="1"/>
      <c r="F20" s="1"/>
    </row>
    <row r="21" spans="1:6" x14ac:dyDescent="0.25">
      <c r="A21" s="1"/>
      <c r="B21" s="33" t="s">
        <v>227</v>
      </c>
      <c r="C21" s="12">
        <f>C20*(1+'Fane 15. Nøgletal'!C16)^2</f>
        <v>21036127.800575998</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16" t="s">
        <v>99</v>
      </c>
      <c r="C24" s="117"/>
      <c r="D24" s="118"/>
      <c r="E24" s="1"/>
      <c r="F24" s="1"/>
    </row>
    <row r="25" spans="1:6" x14ac:dyDescent="0.25">
      <c r="A25" s="1"/>
      <c r="B25" s="80" t="s">
        <v>109</v>
      </c>
      <c r="C25" s="9">
        <v>5030137</v>
      </c>
      <c r="D25" s="14" t="s">
        <v>3</v>
      </c>
      <c r="E25" s="1"/>
      <c r="F25" s="1"/>
    </row>
    <row r="26" spans="1:6" x14ac:dyDescent="0.25">
      <c r="A26" s="1"/>
      <c r="B26" s="80" t="s">
        <v>123</v>
      </c>
      <c r="C26" s="9">
        <v>5043871</v>
      </c>
      <c r="D26" s="14" t="s">
        <v>3</v>
      </c>
      <c r="E26" s="1"/>
      <c r="F26" s="1"/>
    </row>
    <row r="27" spans="1:6" x14ac:dyDescent="0.25">
      <c r="A27" s="1"/>
      <c r="B27" s="80" t="s">
        <v>142</v>
      </c>
      <c r="C27" s="9">
        <v>5057831</v>
      </c>
      <c r="D27" s="14" t="s">
        <v>3</v>
      </c>
      <c r="E27" s="1"/>
      <c r="F27" s="1"/>
    </row>
    <row r="28" spans="1:6" x14ac:dyDescent="0.25">
      <c r="A28" s="1"/>
      <c r="B28" s="34" t="s">
        <v>261</v>
      </c>
      <c r="C28" s="9">
        <v>5072022</v>
      </c>
      <c r="D28" s="38" t="s">
        <v>3</v>
      </c>
      <c r="E28" s="1"/>
      <c r="F28" s="1"/>
    </row>
    <row r="29" spans="1:6" x14ac:dyDescent="0.25">
      <c r="A29" s="1"/>
      <c r="B29" s="116"/>
      <c r="C29" s="117"/>
      <c r="D29" s="118"/>
      <c r="E29" s="1"/>
      <c r="F29" s="1"/>
    </row>
    <row r="30" spans="1:6" x14ac:dyDescent="0.25">
      <c r="A30" s="1"/>
      <c r="B30" s="1"/>
      <c r="C30" s="1"/>
      <c r="D30" s="1"/>
      <c r="E30" s="1"/>
      <c r="F30" s="1"/>
    </row>
    <row r="31" spans="1:6" x14ac:dyDescent="0.25">
      <c r="A31" s="1"/>
      <c r="B31" s="1"/>
      <c r="C31" s="1"/>
      <c r="D31" s="1"/>
      <c r="E31" s="1"/>
      <c r="F31" s="1"/>
    </row>
    <row r="32" spans="1:6" x14ac:dyDescent="0.25">
      <c r="A32" s="1"/>
      <c r="B32" s="116" t="s">
        <v>81</v>
      </c>
      <c r="C32" s="117"/>
      <c r="D32" s="118"/>
      <c r="E32" s="1"/>
      <c r="F32" s="1"/>
    </row>
    <row r="33" spans="1:6" x14ac:dyDescent="0.25">
      <c r="A33" s="1"/>
      <c r="B33" s="80" t="s">
        <v>109</v>
      </c>
      <c r="C33" s="9">
        <v>1587677</v>
      </c>
      <c r="D33" s="14" t="s">
        <v>3</v>
      </c>
      <c r="E33" s="1"/>
      <c r="F33" s="1"/>
    </row>
    <row r="34" spans="1:6" x14ac:dyDescent="0.25">
      <c r="A34" s="1"/>
      <c r="B34" s="80" t="s">
        <v>123</v>
      </c>
      <c r="C34" s="9">
        <v>0</v>
      </c>
      <c r="D34" s="14" t="s">
        <v>3</v>
      </c>
      <c r="E34" s="1"/>
      <c r="F34" s="1"/>
    </row>
    <row r="35" spans="1:6" x14ac:dyDescent="0.25">
      <c r="A35" s="1"/>
      <c r="B35" s="80" t="s">
        <v>142</v>
      </c>
      <c r="C35" s="9">
        <v>0</v>
      </c>
      <c r="D35" s="14" t="s">
        <v>3</v>
      </c>
      <c r="E35" s="1"/>
      <c r="F35" s="1"/>
    </row>
    <row r="36" spans="1:6" x14ac:dyDescent="0.25">
      <c r="A36" s="1"/>
      <c r="B36" s="34" t="s">
        <v>261</v>
      </c>
      <c r="C36" s="9">
        <v>0</v>
      </c>
      <c r="D36" s="38" t="s">
        <v>3</v>
      </c>
      <c r="E36" s="1"/>
      <c r="F36" s="1"/>
    </row>
    <row r="37" spans="1:6" x14ac:dyDescent="0.25">
      <c r="A37" s="1"/>
      <c r="B37" s="116"/>
      <c r="C37" s="117"/>
      <c r="D37" s="118"/>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row r="57" spans="1:6" x14ac:dyDescent="0.25">
      <c r="A57" s="48"/>
      <c r="B57" s="48"/>
      <c r="C57" s="48"/>
      <c r="D57" s="48"/>
      <c r="E57" s="48"/>
      <c r="F57" s="48"/>
    </row>
  </sheetData>
  <sheetProtection algorithmName="SHA-512" hashValue="i1BjUk45tP7EvX5fjnpZMchA8xU5SftALPMJNu4jjhPwq19rkOTPvtnK/leG2R99Z0fR3mG/wxZCZ7E40kHTNA==" saltValue="q57RnOSEYweC3KSSniCK1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7874-B89E-4882-B11C-0513BF179D74}">
  <dimension ref="A1:G51"/>
  <sheetViews>
    <sheetView showGridLines="0" view="pageLayout" zoomScale="90" zoomScaleNormal="100" zoomScalePageLayoutView="9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206</v>
      </c>
      <c r="C3" s="112"/>
      <c r="D3" s="112"/>
      <c r="E3" s="112"/>
      <c r="F3" s="112"/>
      <c r="G3" s="1"/>
    </row>
    <row r="4" spans="1:7" ht="15" customHeight="1" x14ac:dyDescent="0.25">
      <c r="A4" s="1"/>
      <c r="B4" s="112"/>
      <c r="C4" s="112"/>
      <c r="D4" s="112"/>
      <c r="E4" s="112"/>
      <c r="F4" s="112"/>
      <c r="G4" s="1"/>
    </row>
    <row r="5" spans="1:7" ht="15" customHeight="1" x14ac:dyDescent="0.25">
      <c r="A5" s="1"/>
      <c r="B5" s="73"/>
      <c r="C5" s="73"/>
      <c r="D5" s="73"/>
      <c r="E5" s="73"/>
      <c r="F5" s="73"/>
      <c r="G5" s="1"/>
    </row>
    <row r="6" spans="1:7" ht="15" customHeight="1" x14ac:dyDescent="0.25">
      <c r="A6" s="1"/>
      <c r="B6" s="73"/>
      <c r="C6" s="73"/>
      <c r="D6" s="73"/>
      <c r="E6" s="73"/>
      <c r="F6" s="73"/>
      <c r="G6" s="1"/>
    </row>
    <row r="7" spans="1:7" ht="15" customHeight="1" x14ac:dyDescent="0.25">
      <c r="A7" s="1"/>
      <c r="B7" s="1"/>
      <c r="C7" s="1"/>
      <c r="D7" s="1"/>
      <c r="E7" s="1"/>
      <c r="F7" s="1"/>
      <c r="G7" s="1"/>
    </row>
    <row r="8" spans="1:7" ht="15" customHeight="1" x14ac:dyDescent="0.25">
      <c r="A8" s="1"/>
      <c r="B8" s="116" t="s">
        <v>137</v>
      </c>
      <c r="C8" s="117"/>
      <c r="D8" s="117"/>
      <c r="E8" s="117"/>
      <c r="F8" s="118"/>
      <c r="G8" s="1"/>
    </row>
    <row r="9" spans="1:7" ht="15" customHeight="1" x14ac:dyDescent="0.25">
      <c r="A9" s="1"/>
      <c r="B9" s="119" t="s">
        <v>272</v>
      </c>
      <c r="C9" s="120"/>
      <c r="D9" s="121"/>
      <c r="E9" s="9">
        <v>10542336</v>
      </c>
      <c r="F9" s="14" t="s">
        <v>3</v>
      </c>
      <c r="G9" s="1"/>
    </row>
    <row r="10" spans="1:7" ht="15" customHeight="1" x14ac:dyDescent="0.25">
      <c r="A10" s="1"/>
      <c r="B10" s="119" t="s">
        <v>143</v>
      </c>
      <c r="C10" s="120"/>
      <c r="D10" s="121"/>
      <c r="E10" s="9">
        <v>-25506682</v>
      </c>
      <c r="F10" s="14" t="s">
        <v>3</v>
      </c>
      <c r="G10" s="1"/>
    </row>
    <row r="11" spans="1:7" ht="15" customHeight="1" x14ac:dyDescent="0.25">
      <c r="A11" s="1"/>
      <c r="B11" s="119" t="s">
        <v>273</v>
      </c>
      <c r="C11" s="120"/>
      <c r="D11" s="121"/>
      <c r="E11" s="9">
        <v>-34940853</v>
      </c>
      <c r="F11" s="14" t="s">
        <v>3</v>
      </c>
      <c r="G11" s="1"/>
    </row>
    <row r="12" spans="1:7" x14ac:dyDescent="0.25">
      <c r="A12" s="1"/>
      <c r="B12" s="33"/>
      <c r="C12" s="28"/>
      <c r="D12" s="28"/>
      <c r="E12" s="28"/>
      <c r="F12" s="19"/>
      <c r="G12" s="1"/>
    </row>
    <row r="13" spans="1:7" ht="42" customHeight="1" x14ac:dyDescent="0.25">
      <c r="A13" s="1"/>
      <c r="B13" s="113" t="s">
        <v>274</v>
      </c>
      <c r="C13" s="114"/>
      <c r="D13" s="114"/>
      <c r="E13" s="114"/>
      <c r="F13" s="115"/>
      <c r="G13" s="1"/>
    </row>
    <row r="14" spans="1:7" ht="15" customHeight="1" x14ac:dyDescent="0.25">
      <c r="A14" s="1"/>
      <c r="B14" s="1"/>
      <c r="C14" s="1"/>
      <c r="D14" s="1"/>
      <c r="E14" s="1"/>
      <c r="F14" s="1"/>
      <c r="G14" s="1"/>
    </row>
    <row r="15" spans="1:7" x14ac:dyDescent="0.25">
      <c r="A15" s="1"/>
      <c r="B15" s="74" t="s">
        <v>275</v>
      </c>
      <c r="C15" s="75"/>
      <c r="D15" s="75"/>
      <c r="E15" s="75"/>
      <c r="F15" s="76"/>
      <c r="G15" s="1"/>
    </row>
    <row r="16" spans="1:7" x14ac:dyDescent="0.25">
      <c r="A16" s="1"/>
      <c r="B16" s="77" t="s">
        <v>276</v>
      </c>
      <c r="C16" s="78"/>
      <c r="D16" s="79"/>
      <c r="E16" s="9">
        <f>IF(E11&lt;0,E11,0)</f>
        <v>-34940853</v>
      </c>
      <c r="F16" s="14" t="s">
        <v>3</v>
      </c>
      <c r="G16" s="1"/>
    </row>
    <row r="17" spans="1:7" x14ac:dyDescent="0.25">
      <c r="A17" s="1"/>
      <c r="B17" s="77" t="s">
        <v>277</v>
      </c>
      <c r="C17" s="78"/>
      <c r="D17" s="79"/>
      <c r="E17" s="9">
        <f>IF(SUM(E10)&gt;0,SUM(E10),0)</f>
        <v>0</v>
      </c>
      <c r="F17" s="14" t="s">
        <v>3</v>
      </c>
      <c r="G17" s="1"/>
    </row>
    <row r="18" spans="1:7" x14ac:dyDescent="0.25">
      <c r="A18" s="1"/>
      <c r="B18" s="81" t="s">
        <v>278</v>
      </c>
      <c r="C18" s="82"/>
      <c r="D18" s="83"/>
      <c r="E18" s="62">
        <f>IF(SUM(E16:E17)&gt;0,0,SUM(E16:E17))</f>
        <v>-34940853</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4" t="s">
        <v>279</v>
      </c>
      <c r="C21" s="75"/>
      <c r="D21" s="75"/>
      <c r="E21" s="75"/>
      <c r="F21" s="76"/>
      <c r="G21" s="1"/>
    </row>
    <row r="22" spans="1:7" x14ac:dyDescent="0.25">
      <c r="A22" s="1"/>
      <c r="B22" s="77" t="s">
        <v>280</v>
      </c>
      <c r="C22" s="78"/>
      <c r="D22" s="79"/>
      <c r="E22" s="9">
        <v>393575613</v>
      </c>
      <c r="F22" s="14" t="s">
        <v>3</v>
      </c>
      <c r="G22" s="1"/>
    </row>
    <row r="23" spans="1:7" x14ac:dyDescent="0.25">
      <c r="A23" s="1"/>
      <c r="B23" s="77" t="s">
        <v>281</v>
      </c>
      <c r="C23" s="78"/>
      <c r="D23" s="79"/>
      <c r="E23" s="9">
        <v>406050147</v>
      </c>
      <c r="F23" s="14" t="s">
        <v>3</v>
      </c>
      <c r="G23" s="1"/>
    </row>
    <row r="24" spans="1:7" x14ac:dyDescent="0.25">
      <c r="A24" s="1"/>
      <c r="B24" s="77" t="s">
        <v>30</v>
      </c>
      <c r="C24" s="78"/>
      <c r="D24" s="79"/>
      <c r="E24" s="9">
        <v>0</v>
      </c>
      <c r="F24" s="14" t="s">
        <v>3</v>
      </c>
      <c r="G24" s="1"/>
    </row>
    <row r="25" spans="1:7" x14ac:dyDescent="0.25">
      <c r="A25" s="1"/>
      <c r="B25" s="81" t="s">
        <v>282</v>
      </c>
      <c r="C25" s="82"/>
      <c r="D25" s="83"/>
      <c r="E25" s="62">
        <f>E22-E23-E24</f>
        <v>-12474534</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6" t="s">
        <v>283</v>
      </c>
      <c r="C28" s="117"/>
      <c r="D28" s="117"/>
      <c r="E28" s="117"/>
      <c r="F28" s="118"/>
      <c r="G28" s="1"/>
    </row>
    <row r="29" spans="1:7" x14ac:dyDescent="0.25">
      <c r="A29" s="1"/>
      <c r="B29" s="131" t="s">
        <v>116</v>
      </c>
      <c r="C29" s="132"/>
      <c r="D29" s="133"/>
      <c r="E29" s="9">
        <f>IF(E18&lt;0,IF(E25&lt;0,SUM(E18,E25),IF(E10&gt;0,SUM(E10:E11),E18)),IF(AND(E25&lt;0,SUM(E25,E11)&lt;0),IF(E11&lt;0,E25,IF(SUM(E10:E11)&gt;0,SUM(E25,E11),IF(AND(E25&lt;0,E18=0,E11&gt;0),IF(SUM(E9:E11)&gt;0,E25+E11,E25)))),0))</f>
        <v>-47415387</v>
      </c>
      <c r="F29" s="14" t="s">
        <v>3</v>
      </c>
      <c r="G29" s="1"/>
    </row>
    <row r="30" spans="1:7" x14ac:dyDescent="0.25">
      <c r="A30" s="1"/>
      <c r="B30" s="131" t="s">
        <v>84</v>
      </c>
      <c r="C30" s="132"/>
      <c r="D30" s="133"/>
      <c r="E30" s="9">
        <v>2</v>
      </c>
      <c r="F30" s="14" t="s">
        <v>20</v>
      </c>
      <c r="G30" s="1"/>
    </row>
    <row r="31" spans="1:7" x14ac:dyDescent="0.25">
      <c r="A31" s="1"/>
      <c r="B31" s="134" t="s">
        <v>117</v>
      </c>
      <c r="C31" s="135"/>
      <c r="D31" s="136"/>
      <c r="E31" s="10">
        <f>E29/E30</f>
        <v>-23707693.5</v>
      </c>
      <c r="F31" s="17" t="s">
        <v>3</v>
      </c>
      <c r="G31" s="1"/>
    </row>
    <row r="32" spans="1:7" x14ac:dyDescent="0.25">
      <c r="A32" s="1"/>
      <c r="B32" s="137"/>
      <c r="C32" s="138"/>
      <c r="D32" s="138"/>
      <c r="E32" s="138"/>
      <c r="F32" s="139"/>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XksXjHOMQ1eHbnhlyyXKN3eqUZTvdtVxUh3dmy5xstGSVmEVsjLOBtbfjkmhPM3qgOfp3xa3XDdROTxn6EUiJA==" saltValue="v84lw7ESQjRhzVXGYaDJhw==" spinCount="100000" sheet="1" objects="1" scenarios="1"/>
  <mergeCells count="11">
    <mergeCell ref="B13:F13"/>
    <mergeCell ref="B3:F4"/>
    <mergeCell ref="B8:F8"/>
    <mergeCell ref="B9:D9"/>
    <mergeCell ref="B10:D10"/>
    <mergeCell ref="B11:D11"/>
    <mergeCell ref="B28:F28"/>
    <mergeCell ref="B29:D29"/>
    <mergeCell ref="B30:D30"/>
    <mergeCell ref="B31:D31"/>
    <mergeCell ref="B32:F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09" t="s">
        <v>170</v>
      </c>
      <c r="C3" s="109"/>
      <c r="D3" s="109"/>
      <c r="E3" s="109"/>
      <c r="F3" s="109"/>
      <c r="G3" s="109"/>
      <c r="H3" s="109"/>
      <c r="I3" s="1"/>
    </row>
    <row r="4" spans="1:9" ht="15" customHeight="1" x14ac:dyDescent="0.25">
      <c r="A4" s="1"/>
      <c r="B4" s="109"/>
      <c r="C4" s="109"/>
      <c r="D4" s="109"/>
      <c r="E4" s="109"/>
      <c r="F4" s="109"/>
      <c r="G4" s="109"/>
      <c r="H4" s="109"/>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6" t="s">
        <v>189</v>
      </c>
      <c r="C8" s="117"/>
      <c r="D8" s="117"/>
      <c r="E8" s="117"/>
      <c r="F8" s="117"/>
      <c r="G8" s="117"/>
      <c r="H8" s="118"/>
      <c r="I8" s="1"/>
    </row>
    <row r="9" spans="1:9" ht="15" customHeight="1" x14ac:dyDescent="0.25">
      <c r="A9" s="1"/>
      <c r="B9" s="143" t="s">
        <v>171</v>
      </c>
      <c r="C9" s="144"/>
      <c r="D9" s="144"/>
      <c r="E9" s="144"/>
      <c r="F9" s="144"/>
      <c r="G9" s="144"/>
      <c r="H9" s="145"/>
      <c r="I9" s="1"/>
    </row>
    <row r="10" spans="1:9" x14ac:dyDescent="0.25">
      <c r="A10" s="1"/>
      <c r="B10" s="140" t="s">
        <v>172</v>
      </c>
      <c r="C10" s="141"/>
      <c r="D10" s="141"/>
      <c r="E10" s="141"/>
      <c r="F10" s="142"/>
      <c r="G10" s="9">
        <v>0</v>
      </c>
      <c r="H10" s="9" t="s">
        <v>3</v>
      </c>
      <c r="I10" s="1"/>
    </row>
    <row r="11" spans="1:9" x14ac:dyDescent="0.25">
      <c r="A11" s="1"/>
      <c r="B11" s="140" t="s">
        <v>173</v>
      </c>
      <c r="C11" s="141"/>
      <c r="D11" s="141"/>
      <c r="E11" s="141"/>
      <c r="F11" s="142"/>
      <c r="G11" s="9">
        <v>0</v>
      </c>
      <c r="H11" s="9" t="s">
        <v>3</v>
      </c>
      <c r="I11" s="1"/>
    </row>
    <row r="12" spans="1:9" x14ac:dyDescent="0.25">
      <c r="A12" s="1"/>
      <c r="B12" s="140" t="s">
        <v>174</v>
      </c>
      <c r="C12" s="141"/>
      <c r="D12" s="141"/>
      <c r="E12" s="141"/>
      <c r="F12" s="142"/>
      <c r="G12" s="9">
        <v>0</v>
      </c>
      <c r="H12" s="9" t="s">
        <v>3</v>
      </c>
      <c r="I12" s="1"/>
    </row>
    <row r="13" spans="1:9" x14ac:dyDescent="0.25">
      <c r="A13" s="1"/>
      <c r="B13" s="140" t="s">
        <v>175</v>
      </c>
      <c r="C13" s="141"/>
      <c r="D13" s="141"/>
      <c r="E13" s="141"/>
      <c r="F13" s="142"/>
      <c r="G13" s="9">
        <v>0</v>
      </c>
      <c r="H13" s="9" t="s">
        <v>3</v>
      </c>
      <c r="I13" s="1"/>
    </row>
    <row r="14" spans="1:9" x14ac:dyDescent="0.25">
      <c r="A14" s="1"/>
      <c r="B14" s="140" t="s">
        <v>176</v>
      </c>
      <c r="C14" s="141"/>
      <c r="D14" s="141"/>
      <c r="E14" s="141"/>
      <c r="F14" s="142"/>
      <c r="G14" s="9">
        <v>0</v>
      </c>
      <c r="H14" s="9" t="s">
        <v>3</v>
      </c>
      <c r="I14" s="1"/>
    </row>
    <row r="15" spans="1:9" x14ac:dyDescent="0.25">
      <c r="A15" s="1"/>
      <c r="B15" s="140" t="s">
        <v>177</v>
      </c>
      <c r="C15" s="141"/>
      <c r="D15" s="141"/>
      <c r="E15" s="141"/>
      <c r="F15" s="142"/>
      <c r="G15" s="9">
        <v>0</v>
      </c>
      <c r="H15" s="9" t="s">
        <v>3</v>
      </c>
      <c r="I15" s="1"/>
    </row>
    <row r="16" spans="1:9" x14ac:dyDescent="0.25">
      <c r="A16" s="1"/>
      <c r="B16" s="140" t="s">
        <v>178</v>
      </c>
      <c r="C16" s="141"/>
      <c r="D16" s="141"/>
      <c r="E16" s="141"/>
      <c r="F16" s="142"/>
      <c r="G16" s="9">
        <v>0</v>
      </c>
      <c r="H16" s="9" t="s">
        <v>3</v>
      </c>
      <c r="I16" s="1"/>
    </row>
    <row r="17" spans="1:9" x14ac:dyDescent="0.25">
      <c r="A17" s="1"/>
      <c r="B17" s="140" t="s">
        <v>179</v>
      </c>
      <c r="C17" s="141"/>
      <c r="D17" s="141"/>
      <c r="E17" s="141"/>
      <c r="F17" s="142"/>
      <c r="G17" s="9">
        <v>0</v>
      </c>
      <c r="H17" s="9" t="s">
        <v>3</v>
      </c>
      <c r="I17" s="1"/>
    </row>
    <row r="18" spans="1:9" x14ac:dyDescent="0.25">
      <c r="A18" s="1"/>
      <c r="B18" s="116" t="s">
        <v>180</v>
      </c>
      <c r="C18" s="117"/>
      <c r="D18" s="117"/>
      <c r="E18" s="117"/>
      <c r="F18" s="118"/>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Om+zc+QSdxfbtFXrHspfHGF4Hh5X5WjHkppUpPWULSmf3mA5HBNM7jsXBSw8Jh89591giMEbKeaIQ4eSkClP7A==" saltValue="OmREZ0j5mv/RRfpXmt4u1g==" spinCount="100000" sheet="1" objects="1" scenarios="1"/>
  <mergeCells count="12">
    <mergeCell ref="B12:F12"/>
    <mergeCell ref="B9:H9"/>
    <mergeCell ref="B3:H4"/>
    <mergeCell ref="B8:H8"/>
    <mergeCell ref="B10:F10"/>
    <mergeCell ref="B11:F11"/>
    <mergeCell ref="B18:F18"/>
    <mergeCell ref="B13:F13"/>
    <mergeCell ref="B14:F14"/>
    <mergeCell ref="B15:F15"/>
    <mergeCell ref="B16:F16"/>
    <mergeCell ref="B17:F17"/>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207</v>
      </c>
      <c r="C3" s="112"/>
      <c r="D3" s="112"/>
      <c r="E3" s="112"/>
      <c r="F3" s="112"/>
      <c r="G3" s="1"/>
    </row>
    <row r="4" spans="1:7" ht="1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6" t="s">
        <v>228</v>
      </c>
      <c r="C9" s="117"/>
      <c r="D9" s="117"/>
      <c r="E9" s="117"/>
      <c r="F9" s="118"/>
      <c r="G9" s="1"/>
    </row>
    <row r="10" spans="1:7" x14ac:dyDescent="0.25">
      <c r="A10" s="1"/>
      <c r="B10" s="113" t="s">
        <v>82</v>
      </c>
      <c r="C10" s="114"/>
      <c r="D10" s="115"/>
      <c r="E10" s="7">
        <v>0</v>
      </c>
      <c r="F10" s="8" t="s">
        <v>3</v>
      </c>
      <c r="G10" s="1"/>
    </row>
    <row r="11" spans="1:7" x14ac:dyDescent="0.25">
      <c r="A11" s="1"/>
      <c r="B11" s="119" t="s">
        <v>229</v>
      </c>
      <c r="C11" s="120"/>
      <c r="D11" s="121"/>
      <c r="E11" s="7">
        <v>0</v>
      </c>
      <c r="F11" s="8" t="s">
        <v>3</v>
      </c>
      <c r="G11" s="1"/>
    </row>
    <row r="12" spans="1:7" x14ac:dyDescent="0.25">
      <c r="A12" s="1"/>
      <c r="B12" s="134" t="s">
        <v>83</v>
      </c>
      <c r="C12" s="135"/>
      <c r="D12" s="136"/>
      <c r="E12" s="10">
        <f>E11-E10</f>
        <v>0</v>
      </c>
      <c r="F12" s="11" t="s">
        <v>3</v>
      </c>
      <c r="G12" s="1"/>
    </row>
    <row r="13" spans="1:7" x14ac:dyDescent="0.25">
      <c r="A13" s="1"/>
      <c r="B13" s="116" t="s">
        <v>78</v>
      </c>
      <c r="C13" s="117"/>
      <c r="D13" s="117"/>
      <c r="E13" s="117"/>
      <c r="F13" s="118"/>
      <c r="G13" s="1"/>
    </row>
    <row r="14" spans="1:7" x14ac:dyDescent="0.25">
      <c r="A14" s="1"/>
      <c r="B14" s="119" t="s">
        <v>230</v>
      </c>
      <c r="C14" s="120"/>
      <c r="D14" s="121"/>
      <c r="E14" s="7">
        <v>5003329</v>
      </c>
      <c r="F14" s="8" t="s">
        <v>3</v>
      </c>
      <c r="G14" s="1"/>
    </row>
    <row r="15" spans="1:7" x14ac:dyDescent="0.25">
      <c r="A15" s="1"/>
      <c r="B15" s="113" t="s">
        <v>231</v>
      </c>
      <c r="C15" s="114"/>
      <c r="D15" s="115"/>
      <c r="E15" s="7">
        <v>3223096</v>
      </c>
      <c r="F15" s="8" t="s">
        <v>3</v>
      </c>
      <c r="G15" s="1"/>
    </row>
    <row r="16" spans="1:7" x14ac:dyDescent="0.25">
      <c r="A16" s="1"/>
      <c r="B16" s="134" t="s">
        <v>83</v>
      </c>
      <c r="C16" s="135"/>
      <c r="D16" s="136"/>
      <c r="E16" s="10">
        <f>E15-E14</f>
        <v>-1780233</v>
      </c>
      <c r="F16" s="11" t="s">
        <v>3</v>
      </c>
      <c r="G16" s="1"/>
    </row>
    <row r="17" spans="1:7" x14ac:dyDescent="0.25">
      <c r="A17" s="1"/>
      <c r="B17" s="33" t="s">
        <v>232</v>
      </c>
      <c r="C17" s="28"/>
      <c r="D17" s="28"/>
      <c r="E17" s="12">
        <f>E12+E16</f>
        <v>-1780233</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23mDZE4a0/HWV8iY7W5cPL1xNen4gtkpDKp/c/b+FFCrafBHOYdLY2S2NO3nlBPFWaLmf6brOUvPI60SFFsWFg==" saltValue="Q9kX7ZAh1QZjy+HM248g6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9" t="s">
        <v>182</v>
      </c>
      <c r="C3" s="109"/>
      <c r="D3" s="109"/>
      <c r="E3" s="109"/>
      <c r="F3" s="109"/>
      <c r="G3" s="109"/>
      <c r="H3" s="109"/>
      <c r="I3" s="109"/>
      <c r="J3" s="109"/>
      <c r="K3" s="109"/>
      <c r="L3" s="1"/>
    </row>
    <row r="4" spans="1:12" ht="15" customHeight="1" x14ac:dyDescent="0.25">
      <c r="A4" s="1"/>
      <c r="B4" s="109"/>
      <c r="C4" s="109"/>
      <c r="D4" s="109"/>
      <c r="E4" s="109"/>
      <c r="F4" s="109"/>
      <c r="G4" s="109"/>
      <c r="H4" s="109"/>
      <c r="I4" s="109"/>
      <c r="J4" s="109"/>
      <c r="K4" s="109"/>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6" t="s">
        <v>149</v>
      </c>
      <c r="C8" s="117"/>
      <c r="D8" s="117"/>
      <c r="E8" s="117"/>
      <c r="F8" s="117"/>
      <c r="G8" s="117"/>
      <c r="H8" s="117"/>
      <c r="I8" s="117"/>
      <c r="J8" s="117"/>
      <c r="K8" s="118"/>
      <c r="L8" s="1"/>
    </row>
    <row r="9" spans="1:12" ht="39.75" customHeight="1" x14ac:dyDescent="0.25">
      <c r="A9" s="1"/>
      <c r="B9" s="18" t="s">
        <v>0</v>
      </c>
      <c r="C9" s="18" t="s">
        <v>1</v>
      </c>
      <c r="D9" s="146" t="s">
        <v>165</v>
      </c>
      <c r="E9" s="147"/>
      <c r="F9" s="146" t="s">
        <v>2</v>
      </c>
      <c r="G9" s="147"/>
      <c r="H9" s="146" t="s">
        <v>164</v>
      </c>
      <c r="I9" s="147"/>
      <c r="J9" s="146" t="s">
        <v>27</v>
      </c>
      <c r="K9" s="147"/>
      <c r="L9" s="1"/>
    </row>
    <row r="10" spans="1:12" x14ac:dyDescent="0.25">
      <c r="A10" s="1"/>
      <c r="B10" s="84" t="s">
        <v>265</v>
      </c>
      <c r="C10" s="45">
        <v>0</v>
      </c>
      <c r="D10" s="9">
        <v>0</v>
      </c>
      <c r="E10" s="14" t="s">
        <v>3</v>
      </c>
      <c r="F10" s="9">
        <f>IFERROR(D10/C10,0)</f>
        <v>0</v>
      </c>
      <c r="G10" s="14" t="s">
        <v>3</v>
      </c>
      <c r="H10" s="41">
        <v>0</v>
      </c>
      <c r="I10" s="14" t="s">
        <v>3</v>
      </c>
      <c r="J10" s="41">
        <v>0</v>
      </c>
      <c r="K10" s="14" t="s">
        <v>3</v>
      </c>
      <c r="L10" s="1"/>
    </row>
    <row r="11" spans="1:12" x14ac:dyDescent="0.25">
      <c r="A11" s="1"/>
      <c r="B11" s="74" t="s">
        <v>150</v>
      </c>
      <c r="C11" s="75"/>
      <c r="D11" s="76"/>
      <c r="E11" s="76"/>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QJRp8f6EQhHvk9aSOXlrfZWK7n3MIm2uyWA9fJdQSjU/C1JskgRqgf9yyGIwIqjlcRoICunn+EIJCOeclr0hXA==" saltValue="5tDzhooRJa67TCIob5wxm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9" t="s">
        <v>183</v>
      </c>
      <c r="C3" s="109"/>
      <c r="D3" s="109"/>
      <c r="E3" s="109"/>
      <c r="F3" s="109"/>
      <c r="G3" s="1"/>
    </row>
    <row r="4" spans="1:7" ht="15" customHeight="1" x14ac:dyDescent="0.25">
      <c r="A4" s="1"/>
      <c r="B4" s="109"/>
      <c r="C4" s="109"/>
      <c r="D4" s="109"/>
      <c r="E4" s="109"/>
      <c r="F4" s="10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5" t="s">
        <v>17</v>
      </c>
      <c r="C9" s="85" t="s">
        <v>11</v>
      </c>
      <c r="D9" s="86"/>
      <c r="E9" s="85"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290</v>
      </c>
      <c r="C11" s="21">
        <v>30708</v>
      </c>
      <c r="D11" s="14" t="s">
        <v>3</v>
      </c>
      <c r="E11" s="9">
        <v>1440797</v>
      </c>
      <c r="F11" s="14" t="s">
        <v>3</v>
      </c>
      <c r="G11" s="1"/>
    </row>
    <row r="12" spans="1:7" x14ac:dyDescent="0.25">
      <c r="A12" s="1"/>
      <c r="B12" s="24" t="s">
        <v>293</v>
      </c>
      <c r="C12" s="21">
        <v>0</v>
      </c>
      <c r="D12" s="14" t="s">
        <v>3</v>
      </c>
      <c r="E12" s="9">
        <v>615269</v>
      </c>
      <c r="F12" s="14" t="s">
        <v>3</v>
      </c>
      <c r="G12" s="1"/>
    </row>
    <row r="13" spans="1:7" x14ac:dyDescent="0.25">
      <c r="A13" s="1"/>
      <c r="B13" s="24" t="s">
        <v>291</v>
      </c>
      <c r="C13" s="21">
        <v>0</v>
      </c>
      <c r="D13" s="14" t="s">
        <v>3</v>
      </c>
      <c r="E13" s="9">
        <v>2093</v>
      </c>
      <c r="F13" s="14" t="s">
        <v>3</v>
      </c>
      <c r="G13" s="1"/>
    </row>
    <row r="14" spans="1:7" x14ac:dyDescent="0.25">
      <c r="A14" s="1"/>
      <c r="B14" s="24" t="s">
        <v>292</v>
      </c>
      <c r="C14" s="21">
        <v>2516187</v>
      </c>
      <c r="D14" s="14" t="s">
        <v>3</v>
      </c>
      <c r="E14" s="9">
        <v>487919</v>
      </c>
      <c r="F14" s="14" t="s">
        <v>3</v>
      </c>
      <c r="G14" s="1"/>
    </row>
    <row r="15" spans="1:7" x14ac:dyDescent="0.25">
      <c r="A15" s="1"/>
      <c r="B15" s="24" t="s">
        <v>294</v>
      </c>
      <c r="C15" s="21">
        <v>495340</v>
      </c>
      <c r="D15" s="14" t="s">
        <v>3</v>
      </c>
      <c r="E15" s="9">
        <v>0</v>
      </c>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3042235</v>
      </c>
      <c r="D19" s="13" t="s">
        <v>3</v>
      </c>
      <c r="E19" s="12">
        <f>SUM(E10:E18)</f>
        <v>2546078</v>
      </c>
      <c r="F19" s="13" t="s">
        <v>3</v>
      </c>
      <c r="G19" s="1"/>
    </row>
    <row r="20" spans="1:7" x14ac:dyDescent="0.25">
      <c r="A20" s="1"/>
      <c r="B20" s="33" t="s">
        <v>233</v>
      </c>
      <c r="C20" s="12">
        <f>C19*(1+'Fane 15. Nøgletal'!C16)</f>
        <v>3288047.588</v>
      </c>
      <c r="D20" s="13" t="s">
        <v>3</v>
      </c>
      <c r="E20" s="12">
        <f>E19*(1+'Fane 15. Nøgletal'!C16)</f>
        <v>2751801.1023999997</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YA6J6oyzZN2NCuzDh6tP6HK1xYewxXSpu2r5q9pp1PbXEkUtwbQk+Rlk98NsPH4auPSjPXxo0zCmEXOKStxm6w==" saltValue="jvhdHuvjbs5G9M1fk/VOI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9" t="s">
        <v>184</v>
      </c>
      <c r="C3" s="109"/>
      <c r="D3" s="109"/>
      <c r="E3" s="109"/>
      <c r="F3" s="109"/>
      <c r="G3" s="1"/>
    </row>
    <row r="4" spans="1:7" ht="15" customHeight="1" x14ac:dyDescent="0.25">
      <c r="A4" s="1"/>
      <c r="B4" s="109"/>
      <c r="C4" s="109"/>
      <c r="D4" s="109"/>
      <c r="E4" s="109"/>
      <c r="F4" s="10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6" t="s">
        <v>260</v>
      </c>
      <c r="C8" s="117"/>
      <c r="D8" s="117"/>
      <c r="E8" s="117"/>
      <c r="F8" s="118"/>
      <c r="G8" s="1"/>
    </row>
    <row r="9" spans="1:7" x14ac:dyDescent="0.25">
      <c r="A9" s="1"/>
      <c r="B9" s="85" t="s">
        <v>17</v>
      </c>
      <c r="C9" s="85" t="s">
        <v>11</v>
      </c>
      <c r="D9" s="86"/>
      <c r="E9" s="85" t="s">
        <v>28</v>
      </c>
      <c r="F9" s="32"/>
      <c r="G9" s="1"/>
    </row>
    <row r="10" spans="1:7" x14ac:dyDescent="0.25">
      <c r="A10" s="1"/>
      <c r="B10" s="24" t="s">
        <v>294</v>
      </c>
      <c r="C10" s="21">
        <v>7430103</v>
      </c>
      <c r="D10" s="14" t="s">
        <v>3</v>
      </c>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234</v>
      </c>
      <c r="C13" s="12">
        <f>SUM(C10:C12)</f>
        <v>7430103</v>
      </c>
      <c r="D13" s="13" t="s">
        <v>3</v>
      </c>
      <c r="E13" s="12">
        <f>SUM(E10:E12)</f>
        <v>0</v>
      </c>
      <c r="F13" s="13" t="s">
        <v>3</v>
      </c>
      <c r="G13" s="1"/>
    </row>
    <row r="14" spans="1:7" x14ac:dyDescent="0.25">
      <c r="A14" s="1"/>
      <c r="B14" s="33" t="s">
        <v>235</v>
      </c>
      <c r="C14" s="12">
        <f>C13*(1+'Fane 15. Nøgletal'!C16)^2</f>
        <v>8679316.1124499198</v>
      </c>
      <c r="D14" s="13" t="s">
        <v>3</v>
      </c>
      <c r="E14" s="12">
        <f>E13*(1+'Fane 15. Nøgletal'!C16)^2</f>
        <v>0</v>
      </c>
      <c r="F14" s="13" t="s">
        <v>3</v>
      </c>
      <c r="G14" s="1"/>
    </row>
    <row r="15" spans="1:7" x14ac:dyDescent="0.25">
      <c r="A15" s="1"/>
      <c r="B15" s="1"/>
      <c r="C15" s="1"/>
      <c r="D15" s="1"/>
      <c r="E15" s="1"/>
      <c r="F15" s="1"/>
      <c r="G15" s="1"/>
    </row>
    <row r="16" spans="1:7" x14ac:dyDescent="0.25">
      <c r="A16" s="1"/>
      <c r="B16" s="148"/>
      <c r="C16" s="148"/>
      <c r="D16" s="148"/>
      <c r="E16" s="148"/>
      <c r="F16" s="148"/>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48"/>
      <c r="C23" s="148"/>
      <c r="D23" s="148"/>
      <c r="E23" s="148"/>
      <c r="F23" s="148"/>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48"/>
      <c r="C30" s="148"/>
      <c r="D30" s="148"/>
      <c r="E30" s="148"/>
      <c r="F30" s="148"/>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sWtyPqSJr4ysKhU38ariIrVXQ+L6FtdfLOPhfQFzT9VDU2E3agRAGS1WzEr9d0FH3GF/y0ELiRoQhzcliw95Kw==" saltValue="dFefkLKjko5CUc9djGP3LA=="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185</v>
      </c>
      <c r="C3" s="112"/>
      <c r="D3" s="112"/>
      <c r="E3" s="112"/>
      <c r="F3" s="112"/>
      <c r="G3" s="1"/>
    </row>
    <row r="4" spans="1:7" ht="15" customHeight="1" x14ac:dyDescent="0.25">
      <c r="A4" s="1"/>
      <c r="B4" s="112"/>
      <c r="C4" s="112"/>
      <c r="D4" s="112"/>
      <c r="E4" s="112"/>
      <c r="F4" s="112"/>
      <c r="G4" s="1"/>
    </row>
    <row r="5" spans="1:7" x14ac:dyDescent="0.25">
      <c r="A5" s="1"/>
      <c r="B5" s="112"/>
      <c r="C5" s="112"/>
      <c r="D5" s="112"/>
      <c r="E5" s="112"/>
      <c r="F5" s="112"/>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6" t="s">
        <v>110</v>
      </c>
      <c r="C9" s="117"/>
      <c r="D9" s="117"/>
      <c r="E9" s="117"/>
      <c r="F9" s="118"/>
      <c r="G9" s="1"/>
    </row>
    <row r="10" spans="1:7" x14ac:dyDescent="0.25">
      <c r="A10" s="1"/>
      <c r="B10" s="140" t="s">
        <v>236</v>
      </c>
      <c r="C10" s="141"/>
      <c r="D10" s="142"/>
      <c r="E10" s="9">
        <v>0</v>
      </c>
      <c r="F10" s="14" t="s">
        <v>3</v>
      </c>
      <c r="G10" s="1"/>
    </row>
    <row r="11" spans="1:7" x14ac:dyDescent="0.25">
      <c r="A11" s="1"/>
      <c r="B11" s="149" t="s">
        <v>10</v>
      </c>
      <c r="C11" s="150"/>
      <c r="D11" s="151"/>
      <c r="E11" s="9">
        <f>-E10*'Fane 5. Individuelt eff. krav'!G9</f>
        <v>0</v>
      </c>
      <c r="F11" s="14" t="s">
        <v>3</v>
      </c>
      <c r="G11" s="1"/>
    </row>
    <row r="12" spans="1:7" x14ac:dyDescent="0.25">
      <c r="A12" s="1"/>
      <c r="B12" s="149" t="s">
        <v>23</v>
      </c>
      <c r="C12" s="150"/>
      <c r="D12" s="151"/>
      <c r="E12" s="9">
        <f>-E10*'Fane 15. Nøgletal'!C33</f>
        <v>0</v>
      </c>
      <c r="F12" s="14" t="s">
        <v>3</v>
      </c>
      <c r="G12" s="1"/>
    </row>
    <row r="13" spans="1:7" x14ac:dyDescent="0.25">
      <c r="A13" s="1"/>
      <c r="B13" s="116" t="s">
        <v>111</v>
      </c>
      <c r="C13" s="117"/>
      <c r="D13" s="118"/>
      <c r="E13" s="12">
        <f>SUM(E10:E12)*(1+'Fane 15. Nøgletal'!C16)^2</f>
        <v>0</v>
      </c>
      <c r="F13" s="13" t="s">
        <v>3</v>
      </c>
      <c r="G13" s="1"/>
    </row>
    <row r="14" spans="1:7" x14ac:dyDescent="0.25">
      <c r="A14" s="1"/>
      <c r="B14" s="1"/>
      <c r="C14" s="1"/>
      <c r="D14" s="1"/>
      <c r="E14" s="1"/>
      <c r="F14" s="1"/>
      <c r="G14" s="1"/>
    </row>
    <row r="15" spans="1:7" ht="15" customHeight="1" x14ac:dyDescent="0.25">
      <c r="A15" s="1"/>
      <c r="B15" s="116" t="s">
        <v>124</v>
      </c>
      <c r="C15" s="117"/>
      <c r="D15" s="117"/>
      <c r="E15" s="117"/>
      <c r="F15" s="118"/>
      <c r="G15" s="1"/>
    </row>
    <row r="16" spans="1:7" x14ac:dyDescent="0.25">
      <c r="A16" s="1"/>
      <c r="B16" s="140" t="s">
        <v>236</v>
      </c>
      <c r="C16" s="141"/>
      <c r="D16" s="142"/>
      <c r="E16" s="9">
        <v>0</v>
      </c>
      <c r="F16" s="14" t="s">
        <v>3</v>
      </c>
      <c r="G16" s="1"/>
    </row>
    <row r="17" spans="1:7" x14ac:dyDescent="0.25">
      <c r="A17" s="1"/>
      <c r="B17" s="149" t="s">
        <v>10</v>
      </c>
      <c r="C17" s="150"/>
      <c r="D17" s="151"/>
      <c r="E17" s="9">
        <f>-E16*'Fane 5. Individuelt eff. krav'!G9</f>
        <v>0</v>
      </c>
      <c r="F17" s="14" t="s">
        <v>3</v>
      </c>
      <c r="G17" s="1"/>
    </row>
    <row r="18" spans="1:7" x14ac:dyDescent="0.25">
      <c r="A18" s="1"/>
      <c r="B18" s="149" t="s">
        <v>23</v>
      </c>
      <c r="C18" s="150"/>
      <c r="D18" s="151"/>
      <c r="E18" s="9">
        <f>-E16*'Fane 15. Nøgletal'!C33</f>
        <v>0</v>
      </c>
      <c r="F18" s="14" t="s">
        <v>3</v>
      </c>
      <c r="G18" s="1"/>
    </row>
    <row r="19" spans="1:7" x14ac:dyDescent="0.25">
      <c r="A19" s="1"/>
      <c r="B19" s="116" t="s">
        <v>125</v>
      </c>
      <c r="C19" s="117"/>
      <c r="D19" s="118"/>
      <c r="E19" s="12">
        <f>SUM(E16:E18)*(1+'Fane 15. Nøgletal'!C16)^3</f>
        <v>0</v>
      </c>
      <c r="F19" s="13" t="s">
        <v>3</v>
      </c>
      <c r="G19" s="1"/>
    </row>
    <row r="20" spans="1:7" x14ac:dyDescent="0.25">
      <c r="A20" s="1"/>
      <c r="B20" s="1"/>
      <c r="C20" s="1"/>
      <c r="D20" s="1"/>
      <c r="E20" s="1"/>
      <c r="F20" s="1"/>
      <c r="G20" s="1"/>
    </row>
    <row r="21" spans="1:7" ht="15" customHeight="1" x14ac:dyDescent="0.25">
      <c r="A21" s="1"/>
      <c r="B21" s="116" t="s">
        <v>145</v>
      </c>
      <c r="C21" s="117"/>
      <c r="D21" s="117"/>
      <c r="E21" s="117"/>
      <c r="F21" s="118"/>
      <c r="G21" s="1"/>
    </row>
    <row r="22" spans="1:7" x14ac:dyDescent="0.25">
      <c r="A22" s="1"/>
      <c r="B22" s="140" t="s">
        <v>236</v>
      </c>
      <c r="C22" s="141"/>
      <c r="D22" s="142"/>
      <c r="E22" s="9">
        <v>0</v>
      </c>
      <c r="F22" s="14" t="s">
        <v>3</v>
      </c>
      <c r="G22" s="1"/>
    </row>
    <row r="23" spans="1:7" x14ac:dyDescent="0.25">
      <c r="A23" s="1"/>
      <c r="B23" s="149" t="s">
        <v>10</v>
      </c>
      <c r="C23" s="150"/>
      <c r="D23" s="151"/>
      <c r="E23" s="9">
        <f>-E22*'Fane 5. Individuelt eff. krav'!G9</f>
        <v>0</v>
      </c>
      <c r="F23" s="14" t="s">
        <v>3</v>
      </c>
      <c r="G23" s="1"/>
    </row>
    <row r="24" spans="1:7" x14ac:dyDescent="0.25">
      <c r="A24" s="1"/>
      <c r="B24" s="149" t="s">
        <v>23</v>
      </c>
      <c r="C24" s="150"/>
      <c r="D24" s="151"/>
      <c r="E24" s="9">
        <f>-E22*'Fane 15. Nøgletal'!C33</f>
        <v>0</v>
      </c>
      <c r="F24" s="14" t="s">
        <v>3</v>
      </c>
      <c r="G24" s="1"/>
    </row>
    <row r="25" spans="1:7" x14ac:dyDescent="0.25">
      <c r="A25" s="1"/>
      <c r="B25" s="116" t="s">
        <v>146</v>
      </c>
      <c r="C25" s="117"/>
      <c r="D25" s="118"/>
      <c r="E25" s="12">
        <f>SUM(E22:E24)*(1+'Fane 15. Nøgletal'!C16)^4</f>
        <v>0</v>
      </c>
      <c r="F25" s="13" t="s">
        <v>3</v>
      </c>
      <c r="G25" s="1"/>
    </row>
    <row r="26" spans="1:7" x14ac:dyDescent="0.25">
      <c r="A26" s="1"/>
      <c r="B26" s="1"/>
      <c r="C26" s="1"/>
      <c r="D26" s="1"/>
      <c r="E26" s="1"/>
      <c r="F26" s="1"/>
      <c r="G26" s="1"/>
    </row>
    <row r="27" spans="1:7" ht="15" customHeight="1" x14ac:dyDescent="0.25">
      <c r="A27" s="1"/>
      <c r="B27" s="116" t="s">
        <v>237</v>
      </c>
      <c r="C27" s="117"/>
      <c r="D27" s="117"/>
      <c r="E27" s="117"/>
      <c r="F27" s="118"/>
      <c r="G27" s="1"/>
    </row>
    <row r="28" spans="1:7" ht="14.25" customHeight="1" x14ac:dyDescent="0.25">
      <c r="A28" s="1"/>
      <c r="B28" s="140" t="s">
        <v>236</v>
      </c>
      <c r="C28" s="141"/>
      <c r="D28" s="142"/>
      <c r="E28" s="9">
        <v>0</v>
      </c>
      <c r="F28" s="14" t="s">
        <v>3</v>
      </c>
      <c r="G28" s="1"/>
    </row>
    <row r="29" spans="1:7" x14ac:dyDescent="0.25">
      <c r="A29" s="1"/>
      <c r="B29" s="149" t="s">
        <v>10</v>
      </c>
      <c r="C29" s="150"/>
      <c r="D29" s="151"/>
      <c r="E29" s="9">
        <f>-E28*'Fane 5. Individuelt eff. krav'!G9</f>
        <v>0</v>
      </c>
      <c r="F29" s="14" t="s">
        <v>3</v>
      </c>
      <c r="G29" s="1"/>
    </row>
    <row r="30" spans="1:7" x14ac:dyDescent="0.25">
      <c r="A30" s="1"/>
      <c r="B30" s="149" t="s">
        <v>23</v>
      </c>
      <c r="C30" s="150"/>
      <c r="D30" s="151"/>
      <c r="E30" s="9">
        <f>-E28*'Fane 15. Nøgletal'!C33</f>
        <v>0</v>
      </c>
      <c r="F30" s="14" t="s">
        <v>3</v>
      </c>
      <c r="G30" s="1"/>
    </row>
    <row r="31" spans="1:7" x14ac:dyDescent="0.25">
      <c r="A31" s="1"/>
      <c r="B31" s="116" t="s">
        <v>238</v>
      </c>
      <c r="C31" s="117"/>
      <c r="D31" s="118"/>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g+s/Age/jPiSn3xYQuRDwrDgF0VddjY6OOq60XX8UYkswauYnDElg9hUuX2VwT+tu9uhq74wmt4jslpUQMpP2Q==" saltValue="KF+Uj4doZ+ZN8RAhfUjr9A=="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186</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6" t="s">
        <v>112</v>
      </c>
      <c r="C8" s="117"/>
      <c r="D8" s="117"/>
      <c r="E8" s="117"/>
      <c r="F8" s="118"/>
      <c r="G8" s="1"/>
    </row>
    <row r="9" spans="1:7" ht="15" customHeight="1" x14ac:dyDescent="0.25">
      <c r="A9" s="1"/>
      <c r="B9" s="31" t="s">
        <v>113</v>
      </c>
      <c r="C9" s="31" t="s">
        <v>11</v>
      </c>
      <c r="D9" s="32"/>
      <c r="E9" s="31" t="s">
        <v>28</v>
      </c>
      <c r="F9" s="32"/>
      <c r="G9" s="1"/>
    </row>
    <row r="10" spans="1:7" ht="26.25" x14ac:dyDescent="0.25">
      <c r="A10" s="1"/>
      <c r="B10" s="71"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qdlXovajv1Ao+vKF5q/b7/OnLhL2BmnMMrNUbOyf5rRm5FoLDY1/aUugDRjAtIk8hy8Y85aJa5B/dyS0lSXB3Q==" saltValue="smhgDei2h3fOSQl6rdMwOw=="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187</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6" t="s">
        <v>240</v>
      </c>
      <c r="C9" s="117"/>
      <c r="D9" s="117"/>
      <c r="E9" s="117"/>
      <c r="F9" s="118"/>
      <c r="G9" s="1"/>
    </row>
    <row r="10" spans="1:7" ht="26.25" customHeight="1" x14ac:dyDescent="0.25">
      <c r="A10" s="1"/>
      <c r="B10" s="31" t="s">
        <v>18</v>
      </c>
      <c r="C10" s="143" t="s">
        <v>11</v>
      </c>
      <c r="D10" s="145"/>
      <c r="E10" s="143" t="s">
        <v>28</v>
      </c>
      <c r="F10" s="145"/>
      <c r="G10" s="1"/>
    </row>
    <row r="11" spans="1:7" x14ac:dyDescent="0.25">
      <c r="A11" s="1"/>
      <c r="B11" s="71"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48"/>
      <c r="C15" s="148"/>
      <c r="D15" s="148"/>
      <c r="E15" s="148"/>
      <c r="F15" s="148"/>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48"/>
      <c r="C21" s="148"/>
      <c r="D21" s="148"/>
      <c r="E21" s="148"/>
      <c r="F21" s="148"/>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48"/>
      <c r="C27" s="148"/>
      <c r="D27" s="148"/>
      <c r="E27" s="148"/>
      <c r="F27" s="148"/>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BIPJZptWB9E9c8a6ty2t4+SymbI5XsXdmR8eWlk+jrffI1wmXMv9sy2bbRaHtwn2Ja9kVYkCjGbwiCBXw5wZmA==" saltValue="soakBtNLWqdvMJFt3V9exQ=="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2" t="s">
        <v>188</v>
      </c>
      <c r="C3" s="112"/>
      <c r="D3" s="1"/>
    </row>
    <row r="4" spans="1:4" ht="25.5" customHeight="1" x14ac:dyDescent="0.25">
      <c r="A4" s="1"/>
      <c r="B4" s="112"/>
      <c r="C4" s="11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0" t="s">
        <v>94</v>
      </c>
      <c r="C9" s="25">
        <v>1.2699999999999999E-2</v>
      </c>
      <c r="D9" s="1"/>
    </row>
    <row r="10" spans="1:4" x14ac:dyDescent="0.25">
      <c r="A10" s="1"/>
      <c r="B10" s="80" t="s">
        <v>95</v>
      </c>
      <c r="C10" s="25">
        <v>1.7500000000000002E-2</v>
      </c>
      <c r="D10" s="1"/>
    </row>
    <row r="11" spans="1:4" x14ac:dyDescent="0.25">
      <c r="A11" s="1"/>
      <c r="B11" s="80"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0" t="s">
        <v>133</v>
      </c>
      <c r="C14" s="39">
        <v>3.3E-3</v>
      </c>
      <c r="D14" s="1"/>
    </row>
    <row r="15" spans="1:4" x14ac:dyDescent="0.25">
      <c r="A15" s="1"/>
      <c r="B15" s="34" t="s">
        <v>152</v>
      </c>
      <c r="C15" s="35">
        <v>3.56E-2</v>
      </c>
      <c r="D15" s="1"/>
    </row>
    <row r="16" spans="1:4" x14ac:dyDescent="0.25">
      <c r="A16" s="1"/>
      <c r="B16" s="65" t="s">
        <v>190</v>
      </c>
      <c r="C16" s="68">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0" t="s">
        <v>96</v>
      </c>
      <c r="C21" s="22">
        <v>9.1000000000000004E-3</v>
      </c>
      <c r="D21" s="1"/>
    </row>
    <row r="22" spans="1:4" x14ac:dyDescent="0.25">
      <c r="A22" s="1"/>
      <c r="B22" s="80" t="s">
        <v>118</v>
      </c>
      <c r="C22" s="22">
        <v>1.77E-2</v>
      </c>
      <c r="D22" s="1"/>
    </row>
    <row r="23" spans="1:4" x14ac:dyDescent="0.25">
      <c r="A23" s="1"/>
      <c r="B23" s="80" t="s">
        <v>119</v>
      </c>
      <c r="C23" s="22">
        <v>8.6999999999999994E-3</v>
      </c>
      <c r="D23" s="1"/>
    </row>
    <row r="24" spans="1:4" x14ac:dyDescent="0.25">
      <c r="A24" s="1"/>
      <c r="B24" s="80" t="s">
        <v>97</v>
      </c>
      <c r="C24" s="36">
        <v>2.8400000000000002E-2</v>
      </c>
      <c r="D24" s="1"/>
    </row>
    <row r="25" spans="1:4" x14ac:dyDescent="0.25">
      <c r="A25" s="1"/>
      <c r="B25" s="80" t="s">
        <v>120</v>
      </c>
      <c r="C25" s="36">
        <v>2.75E-2</v>
      </c>
      <c r="D25" s="1"/>
    </row>
    <row r="26" spans="1:4" x14ac:dyDescent="0.25">
      <c r="A26" s="1"/>
      <c r="B26" s="80" t="s">
        <v>121</v>
      </c>
      <c r="C26" s="36">
        <v>1.4800000000000001E-2</v>
      </c>
      <c r="D26" s="1"/>
    </row>
    <row r="27" spans="1:4" x14ac:dyDescent="0.25">
      <c r="A27" s="1"/>
      <c r="B27" s="34" t="s">
        <v>147</v>
      </c>
      <c r="C27" s="64">
        <v>0</v>
      </c>
      <c r="D27" s="1"/>
    </row>
    <row r="28" spans="1:4" x14ac:dyDescent="0.25">
      <c r="A28" s="1"/>
      <c r="B28" s="65" t="s">
        <v>191</v>
      </c>
      <c r="C28" s="67">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0"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6Q3kN4nYrhWAzKXzBYfcPTEWo5DGpdMJGKnBwfN/FeBtOqIOF7R4zMjAoWK7I84c4KuMYXSJKmQYqnnu6V4DzQ==" saltValue="r122dPy21w6/qnp4DgPrE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2023-11-29T17:43:00Z</dcterms:modified>
</cp:coreProperties>
</file>