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illund Spildevand AS (S00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11" i="36" l="1"/>
  <c r="G13" i="30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G35" i="36" s="1"/>
  <c r="G44" i="30"/>
  <c r="C14" i="15"/>
  <c r="C19" i="2" l="1"/>
  <c r="C20" i="2" s="1"/>
  <c r="C33" i="2" s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<sst xmlns="http://schemas.openxmlformats.org/spreadsheetml/2006/main" count="689" uniqueCount="277">
  <si>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</si>
  <si>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</si>
  <si>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</si>
  <si>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</si>
  <si>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</si>
  <si>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</si>
  <si>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</si>
  <si>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</si>
  <si>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</si>
  <si>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</si>
  <si>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</si>
  <si>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</si>
  <si>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</si>
  <si>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</si>
  <si>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</si>
  <si>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</si>
  <si>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</si>
  <si>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</si>
  <si>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</si>
  <si>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</si>
  <si>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</si>
  <si>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</si>
  <si>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</si>
  <si>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</si>
  <si>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</si>
  <si>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</si>
  <si>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</si>
  <si>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</si>
  <si>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</si>
  <si>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</si>
  <si>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</si>
  <si>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</si>
  <si>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</si>
  <si>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</si>
  <si>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</si>
  <si>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</si>
  <si>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</si>
  <si>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</si>
  <si>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</si>
  <si>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</si>
  <si>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</si>
  <si>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</si>
  <si>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</si>
  <si>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</si>
  <si>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</si>
  <si>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</si>
  <si>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</si>
  <si>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</si>
  <si>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</si>
  <si>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</si>
  <si>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</si>
  <si>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</si>
  <si>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</si>
  <si>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</si>
  <si>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</si>
  <si>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</si>
  <si>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</si>
  <si>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</si>
  <si>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</si>
  <si>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</si>
  <si>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</si>
  <si>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</si>
  <si>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</si>
  <si>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</si>
  <si>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</si>
  <si>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</si>
  <si>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</si>
  <si>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</si>
  <si>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</si>
  <si>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</si>
  <si>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</si>
  <si>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</si>
  <si>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</si>
  <si>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</si>
  <si>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</si>
  <si>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</si>
  <si>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</si>
  <si>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</si>
  <si>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</si>
  <si>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</si>
  <si>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</si>
  <si>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</si>
  <si>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</si>
  <si>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</si>
  <si>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</si>
  <si>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</si>
  <si>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</si>
  <si>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</si>
  <si>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</si>
  <si>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</si>
  <si>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</si>
  <si>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</si>
  <si>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</si>
  <si>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</si>
  <si>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</si>
  <si>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</si>
  <si>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</si>
  <si>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</si>
  <si>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</si>
  <si>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</si>
  <si>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</si>
  <si>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</si>
  <si>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</si>
  <si>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</si>
  <si>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</si>
  <si>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</si>
  <si>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</si>
  <si>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</si>
  <si>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</si>
  <si>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</si>
  <si>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</si>
  <si>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</si>
  <si>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</si>
  <si>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</si>
  <si>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</si>
  <si>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</si>
  <si>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</si>
  <si>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</si>
  <si>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</si>
  <si>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</si>
  <si>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</si>
  <si>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</si>
  <si>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</si>
  <si>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</si>
  <si>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</si>
  <si>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</si>
  <si>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</si>
  <si>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</si>
  <si>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</si>
  <si>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</si>
  <si>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</si>
  <si>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</si>
  <si>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</si>
  <si>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</si>
  <si>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</si>
  <si>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</si>
  <si>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</si>
  <si>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</si>
  <si>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</si>
  <si>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</si>
  <si>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</si>
  <si>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</si>
  <si>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</si>
  <si>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</si>
  <si>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</si>
  <si>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</si>
  <si>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</si>
  <si>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</si>
  <si>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</si>
  <si>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</si>
  <si>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</si>
  <si>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</si>
  <si>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</si>
  <si>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</si>
  <si>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</si>
  <si>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</si>
  <si>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</si>
  <si>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</si>
  <si>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</si>
  <si>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</si>
  <si>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</si>
  <si>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</si>
  <si>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</si>
  <si>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</si>
  <si>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</si>
  <si>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</si>
  <si>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</si>
  <si>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</si>
  <si>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</si>
  <si>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</si>
  <si>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</si>
  <si>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</si>
  <si>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</si>
  <si>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</si>
  <si>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</si>
  <si>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</si>
  <si>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</si>
  <si>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</si>
  <si>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</si>
  <si>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</si>
  <si>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</si>
  <si>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</si>
  <si>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</si>
  <si>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</si>
  <si>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</si>
  <si>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</si>
  <si>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</si>
  <si>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</si>
  <si>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</si>
  <si>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</si>
  <si>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</si>
  <si>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</si>
  <si>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</si>
  <si>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</si>
  <si>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</si>
  <si>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</si>
  <si>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</si>
  <si>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</si>
  <si>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</si>
  <si>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</si>
  <si>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</si>
  <si>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</si>
  <si>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</si>
  <si>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</si>
  <si>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</si>
  <si>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</si>
  <si>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</si>
  <si>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</si>
  <si>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</si>
  <si>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</si>
  <si>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</si>
  <si>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</si>
  <si>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</si>
  <si>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</si>
  <si>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</si>
  <si>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</si>
  <si>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</si>
  <si>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</si>
  <si>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</si>
  <si>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</si>
  <si>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</si>
  <si>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</si>
  <si>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</si>
  <si>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</si>
  <si>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</si>
  <si>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</si>
  <si>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</si>
  <si>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</si>
  <si>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</si>
  <si>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</si>
  <si>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</si>
  <si>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</si>
  <si>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</si>
  <si>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</si>
  <si>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</si>
  <si>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</si>
  <si>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</si>
  <si>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</si>
  <si>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</si>
  <si>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</si>
  <si>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</si>
  <si>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</si>
  <si>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</si>
  <si>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</si>
  <si>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</si>
  <si>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</si>
  <si>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</si>
  <si>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</si>
  <si>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</si>
  <si>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</si>
  <si>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</si>
  <si>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</si>
  <si>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</si>
  <si>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</si>
  <si>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</si>
  <si>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</si>
  <si>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</si>
  <si>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</si>
  <si>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</si>
  <si>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</si>
  <si>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</si>
  <si>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</si>
  <si>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</si>
  <si>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</si>
  <si>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</si>
  <si>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</si>
  <si>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</si>
  <si>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</si>
  <si>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</si>
  <si>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</si>
  <si>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</si>
  <si>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</si>
  <si>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Diverse byggemodninger</t>
  </si>
  <si>
    <t>Ingen engangstillæg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</si>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</sst>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8" borderId="1" xfId="1" applyNumberFormat="1" applyFont="1" applyFill="1" applyBorder="1" applyProtection="1"/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71" t="s">
        <v>226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43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17</v>
      </c>
      <c r="D14" s="60" t="s">
        <v>254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41</v>
      </c>
      <c r="D15" s="60" t="s">
        <v>107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42</v>
      </c>
      <c r="D16" s="60" t="s">
        <v>214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180</v>
      </c>
      <c r="D17" s="60" t="s">
        <v>215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157</v>
      </c>
      <c r="D18" s="72" t="s">
        <v>135</v>
      </c>
      <c r="E18" s="73"/>
      <c r="F18" s="73"/>
      <c r="G18" s="74"/>
      <c r="H18" s="1"/>
      <c r="I18" s="1"/>
    </row>
    <row r="19" spans="1:9" x14ac:dyDescent="0.25">
      <c r="A19" s="1"/>
      <c r="B19" s="1"/>
      <c r="C19" s="6" t="s">
        <v>158</v>
      </c>
      <c r="D19" s="72" t="s">
        <v>136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159</v>
      </c>
      <c r="D21" s="64" t="s">
        <v>13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111</v>
      </c>
      <c r="D22" s="67" t="s">
        <v>255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8</v>
      </c>
      <c r="D23" s="67" t="s">
        <v>184</v>
      </c>
      <c r="E23" s="68"/>
      <c r="F23" s="68"/>
      <c r="G23" s="69"/>
      <c r="H23" s="1"/>
      <c r="I23" s="1"/>
    </row>
    <row r="24" spans="1:9" x14ac:dyDescent="0.25">
      <c r="A24" s="1"/>
      <c r="B24" s="1"/>
      <c r="C24" s="6" t="s">
        <v>9</v>
      </c>
      <c r="D24" s="67" t="s">
        <v>44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160</v>
      </c>
      <c r="D25" s="67" t="s">
        <v>112</v>
      </c>
      <c r="E25" s="68"/>
      <c r="F25" s="68"/>
      <c r="G25" s="69"/>
      <c r="H25" s="1"/>
      <c r="I25" s="1"/>
    </row>
    <row r="26" spans="1:9" x14ac:dyDescent="0.25">
      <c r="A26" s="1"/>
      <c r="B26" s="1"/>
      <c r="C26" s="6" t="s">
        <v>161</v>
      </c>
      <c r="D26" s="67" t="s">
        <v>113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162</v>
      </c>
      <c r="D27" s="67" t="s">
        <v>114</v>
      </c>
      <c r="E27" s="68"/>
      <c r="F27" s="68"/>
      <c r="G27" s="69"/>
      <c r="H27" s="1"/>
      <c r="I27" s="1"/>
    </row>
    <row r="28" spans="1:9" x14ac:dyDescent="0.25">
      <c r="A28" s="1"/>
      <c r="B28" s="1"/>
      <c r="C28" s="6" t="s">
        <v>16</v>
      </c>
      <c r="D28" s="67" t="s">
        <v>216</v>
      </c>
      <c r="E28" s="68"/>
      <c r="F28" s="68"/>
      <c r="G28" s="69"/>
      <c r="H28" s="1"/>
      <c r="I28" s="1"/>
    </row>
    <row r="29" spans="1:9" x14ac:dyDescent="0.25">
      <c r="A29" s="1"/>
      <c r="B29" s="1"/>
      <c r="C29" s="6" t="s">
        <v>46</v>
      </c>
      <c r="D29" s="67" t="s">
        <v>45</v>
      </c>
      <c r="E29" s="68"/>
      <c r="F29" s="68"/>
      <c r="G29" s="69"/>
      <c r="H29" s="1"/>
      <c r="I29" s="1"/>
    </row>
    <row r="30" spans="1:9" x14ac:dyDescent="0.25">
      <c r="A30" s="1"/>
      <c r="B30" s="1"/>
      <c r="C30" s="6" t="s">
        <v>47</v>
      </c>
      <c r="D30" s="75" t="s">
        <v>155</v>
      </c>
      <c r="E30" s="76"/>
      <c r="F30" s="76"/>
      <c r="G30" s="7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165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267</v>
      </c>
      <c r="C10" s="9">
        <v>359024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268</v>
      </c>
      <c r="C11" s="9">
        <v>62238</v>
      </c>
      <c r="D11" s="14" t="s">
        <v>3</v>
      </c>
      <c r="E11" s="1"/>
      <c r="F11" s="1"/>
    </row>
    <row r="12" spans="1:6" x14ac:dyDescent="0.25">
      <c r="A12" s="1"/>
      <c r="B12" s="54" t="s">
        <v>269</v>
      </c>
      <c r="C12" s="9">
        <v>23313291</v>
      </c>
      <c r="D12" s="14" t="s">
        <v>3</v>
      </c>
      <c r="E12" s="1"/>
      <c r="F12" s="1"/>
    </row>
    <row r="13" spans="1:6" x14ac:dyDescent="0.25">
      <c r="A13" s="1"/>
      <c r="B13" s="54" t="s">
        <v>270</v>
      </c>
      <c r="C13" s="9">
        <v>18029</v>
      </c>
      <c r="D13" s="14" t="s">
        <v>3</v>
      </c>
      <c r="E13" s="1"/>
      <c r="F13" s="1"/>
    </row>
    <row r="14" spans="1:6" x14ac:dyDescent="0.25">
      <c r="A14" s="1"/>
      <c r="B14" s="54" t="s">
        <v>271</v>
      </c>
      <c r="C14" s="9">
        <v>2500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23755082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24338241.707204882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9" t="s">
        <v>178</v>
      </c>
      <c r="C19" s="90"/>
      <c r="D19" s="91"/>
      <c r="E19" s="1"/>
      <c r="F19" s="1"/>
    </row>
    <row r="20" spans="1:6" x14ac:dyDescent="0.25">
      <c r="A20" s="1"/>
      <c r="B20" s="54" t="s">
        <v>147</v>
      </c>
      <c r="C20" s="9">
        <v>655234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641498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627763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614028</v>
      </c>
      <c r="D23" s="14" t="s">
        <v>3</v>
      </c>
      <c r="E23" s="1"/>
      <c r="F23" s="1"/>
    </row>
    <row r="24" spans="1:6" x14ac:dyDescent="0.25">
      <c r="A24" s="1"/>
      <c r="B24" s="89"/>
      <c r="C24" s="90"/>
      <c r="D24" s="9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9" t="s">
        <v>146</v>
      </c>
      <c r="C27" s="90"/>
      <c r="D27" s="91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9"/>
      <c r="C32" s="90"/>
      <c r="D32" s="9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5" t="s">
        <v>138</v>
      </c>
      <c r="C9" s="96"/>
      <c r="D9" s="97"/>
      <c r="E9" s="9">
        <v>53451030.998692021</v>
      </c>
      <c r="F9" s="14" t="s">
        <v>3</v>
      </c>
      <c r="G9" s="1"/>
    </row>
    <row r="10" spans="1:7" x14ac:dyDescent="0.25">
      <c r="A10" s="1"/>
      <c r="B10" s="95" t="s">
        <v>139</v>
      </c>
      <c r="C10" s="96"/>
      <c r="D10" s="97"/>
      <c r="E10" s="9">
        <v>51520704</v>
      </c>
      <c r="F10" s="14" t="s">
        <v>3</v>
      </c>
      <c r="G10" s="1"/>
    </row>
    <row r="11" spans="1:7" x14ac:dyDescent="0.25">
      <c r="A11" s="1"/>
      <c r="B11" s="95" t="s">
        <v>40</v>
      </c>
      <c r="C11" s="96"/>
      <c r="D11" s="97"/>
      <c r="E11" s="9">
        <v>6000</v>
      </c>
      <c r="F11" s="14" t="s">
        <v>3</v>
      </c>
      <c r="G11" s="1"/>
    </row>
    <row r="12" spans="1:7" x14ac:dyDescent="0.25">
      <c r="A12" s="1"/>
      <c r="B12" s="93" t="s">
        <v>140</v>
      </c>
      <c r="C12" s="94"/>
      <c r="D12" s="104"/>
      <c r="E12" s="10">
        <f>E9-(E10-E11)</f>
        <v>1936326.9986920208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80" t="s">
        <v>156</v>
      </c>
      <c r="C14" s="81"/>
      <c r="D14" s="81"/>
      <c r="E14" s="81"/>
      <c r="F14" s="82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5" t="s">
        <v>53</v>
      </c>
      <c r="C17" s="96"/>
      <c r="D17" s="97"/>
      <c r="E17" s="9">
        <v>54733977.764135279</v>
      </c>
      <c r="F17" s="14" t="s">
        <v>3</v>
      </c>
      <c r="G17" s="1"/>
    </row>
    <row r="18" spans="1:7" x14ac:dyDescent="0.25">
      <c r="A18" s="1"/>
      <c r="B18" s="95" t="s">
        <v>54</v>
      </c>
      <c r="C18" s="96"/>
      <c r="D18" s="97"/>
      <c r="E18" s="9">
        <v>53503540</v>
      </c>
      <c r="F18" s="14" t="s">
        <v>3</v>
      </c>
      <c r="G18" s="1"/>
    </row>
    <row r="19" spans="1:7" x14ac:dyDescent="0.25">
      <c r="A19" s="1"/>
      <c r="B19" s="95" t="s">
        <v>40</v>
      </c>
      <c r="C19" s="96"/>
      <c r="D19" s="97"/>
      <c r="E19" s="9">
        <v>0</v>
      </c>
      <c r="F19" s="14" t="s">
        <v>3</v>
      </c>
      <c r="G19" s="1"/>
    </row>
    <row r="20" spans="1:7" x14ac:dyDescent="0.25">
      <c r="A20" s="1"/>
      <c r="B20" s="93" t="s">
        <v>55</v>
      </c>
      <c r="C20" s="94"/>
      <c r="D20" s="104"/>
      <c r="E20" s="10">
        <f>E17-(E18-E19)</f>
        <v>1230437.7641352788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80" t="s">
        <v>218</v>
      </c>
      <c r="C22" s="81"/>
      <c r="D22" s="81"/>
      <c r="E22" s="81"/>
      <c r="F22" s="82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5" t="s">
        <v>246</v>
      </c>
      <c r="C25" s="96"/>
      <c r="D25" s="97"/>
      <c r="E25" s="9">
        <v>53703817.116397709</v>
      </c>
      <c r="F25" s="14" t="s">
        <v>3</v>
      </c>
      <c r="G25" s="1"/>
    </row>
    <row r="26" spans="1:7" x14ac:dyDescent="0.25">
      <c r="A26" s="1"/>
      <c r="B26" s="95" t="s">
        <v>247</v>
      </c>
      <c r="C26" s="96"/>
      <c r="D26" s="97"/>
      <c r="E26" s="9">
        <v>55824486</v>
      </c>
      <c r="F26" s="14" t="s">
        <v>3</v>
      </c>
      <c r="G26" s="1"/>
    </row>
    <row r="27" spans="1:7" x14ac:dyDescent="0.25">
      <c r="A27" s="1"/>
      <c r="B27" s="95" t="s">
        <v>40</v>
      </c>
      <c r="C27" s="96"/>
      <c r="D27" s="97"/>
      <c r="E27" s="9">
        <v>0</v>
      </c>
      <c r="F27" s="14" t="s">
        <v>3</v>
      </c>
      <c r="G27" s="1"/>
    </row>
    <row r="28" spans="1:7" x14ac:dyDescent="0.25">
      <c r="A28" s="1"/>
      <c r="B28" s="93" t="s">
        <v>248</v>
      </c>
      <c r="C28" s="94"/>
      <c r="D28" s="104"/>
      <c r="E28" s="10">
        <f>E25-(E26-E27)</f>
        <v>-2120668.8836022913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93" t="s">
        <v>251</v>
      </c>
      <c r="C32" s="94"/>
      <c r="D32" s="104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5" t="s">
        <v>275</v>
      </c>
      <c r="C36" s="106"/>
      <c r="D36" s="107"/>
      <c r="E36" s="9">
        <v>0</v>
      </c>
      <c r="F36" s="14"/>
      <c r="G36" s="1"/>
    </row>
    <row r="37" spans="1:7" x14ac:dyDescent="0.25">
      <c r="A37" s="1"/>
      <c r="B37" s="105" t="s">
        <v>276</v>
      </c>
      <c r="C37" s="106"/>
      <c r="D37" s="107"/>
      <c r="E37" s="9">
        <v>0</v>
      </c>
      <c r="F37" s="14"/>
      <c r="G37" s="1"/>
    </row>
    <row r="38" spans="1:7" x14ac:dyDescent="0.25">
      <c r="A38" s="1"/>
      <c r="B38" s="105" t="s">
        <v>252</v>
      </c>
      <c r="C38" s="106"/>
      <c r="D38" s="107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-890231.11946701258</v>
      </c>
      <c r="F38" s="14" t="s">
        <v>3</v>
      </c>
      <c r="G38" s="1"/>
    </row>
    <row r="39" spans="1:7" x14ac:dyDescent="0.25">
      <c r="A39" s="1"/>
      <c r="B39" s="105" t="s">
        <v>152</v>
      </c>
      <c r="C39" s="106"/>
      <c r="D39" s="107"/>
      <c r="E39" s="9">
        <v>2</v>
      </c>
      <c r="F39" s="14" t="s">
        <v>21</v>
      </c>
      <c r="G39" s="1"/>
    </row>
    <row r="40" spans="1:7" x14ac:dyDescent="0.25">
      <c r="A40" s="1"/>
      <c r="B40" s="111" t="s">
        <v>253</v>
      </c>
      <c r="C40" s="111"/>
      <c r="D40" s="111"/>
      <c r="E40" s="10">
        <f>E38/E39</f>
        <v>-445115.55973350629</v>
      </c>
      <c r="F40" s="17" t="s">
        <v>3</v>
      </c>
      <c r="G40" s="1"/>
    </row>
    <row r="41" spans="1:7" x14ac:dyDescent="0.25">
      <c r="A41" s="1"/>
      <c r="B41" s="108"/>
      <c r="C41" s="109"/>
      <c r="D41" s="109"/>
      <c r="E41" s="109"/>
      <c r="F41" s="110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201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80" t="s">
        <v>150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5" t="s">
        <v>203</v>
      </c>
      <c r="C11" s="96"/>
      <c r="D11" s="97"/>
      <c r="E11" s="7">
        <v>0</v>
      </c>
      <c r="F11" s="8" t="s">
        <v>3</v>
      </c>
      <c r="G11" s="1"/>
    </row>
    <row r="12" spans="1:7" x14ac:dyDescent="0.25">
      <c r="A12" s="1"/>
      <c r="B12" s="93" t="s">
        <v>151</v>
      </c>
      <c r="C12" s="94"/>
      <c r="D12" s="104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5" t="s">
        <v>204</v>
      </c>
      <c r="C14" s="96"/>
      <c r="D14" s="97"/>
      <c r="E14" s="9">
        <v>682704</v>
      </c>
      <c r="F14" s="8" t="s">
        <v>3</v>
      </c>
      <c r="G14" s="1"/>
    </row>
    <row r="15" spans="1:7" x14ac:dyDescent="0.25">
      <c r="A15" s="1"/>
      <c r="B15" s="80" t="s">
        <v>205</v>
      </c>
      <c r="C15" s="81"/>
      <c r="D15" s="82"/>
      <c r="E15" s="9">
        <v>400000</v>
      </c>
      <c r="F15" s="8" t="s">
        <v>3</v>
      </c>
      <c r="G15" s="1"/>
    </row>
    <row r="16" spans="1:7" x14ac:dyDescent="0.25">
      <c r="A16" s="1"/>
      <c r="B16" s="93" t="s">
        <v>151</v>
      </c>
      <c r="C16" s="94"/>
      <c r="D16" s="104"/>
      <c r="E16" s="10">
        <f>E15-E14</f>
        <v>-282704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-282704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236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274</v>
      </c>
      <c r="C10" s="58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168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59" t="s">
        <v>272</v>
      </c>
      <c r="C11" s="22">
        <v>79207</v>
      </c>
      <c r="D11" s="14" t="s">
        <v>3</v>
      </c>
      <c r="E11" s="9">
        <v>39035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79207</v>
      </c>
      <c r="D12" s="13" t="s">
        <v>3</v>
      </c>
      <c r="E12" s="12">
        <f>SUM(E10:E11)</f>
        <v>39035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80173.325400000002</v>
      </c>
      <c r="D13" s="13" t="s">
        <v>3</v>
      </c>
      <c r="E13" s="12">
        <f>E12*(1+'Fane 14. Nøgletal'!C13)</f>
        <v>39511.226999999999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CHTNMao1AJbgz+ADtGX+YH4MYoS9sXNeLjUaL2Ab9b2wPAoGaY7ohD5AUu4WHP7MOMapTseeWs0bcYnyeRswg==" saltValue="tmTN0jnY8eEXcgY/GYW9+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167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ZBRKQO6+p4LzfI4cg93GQCtIFseVSMtRYrGxsczFKkwyEL7MY+ytTXXTpNP68Bl3tYQtYZjPYfpo/mxiT8TTg==" saltValue="PKDKJVT5JMPs6J0+T++sA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169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12" t="s">
        <v>207</v>
      </c>
      <c r="C9" s="113"/>
      <c r="D9" s="114"/>
      <c r="E9" s="9">
        <v>0</v>
      </c>
      <c r="F9" s="14" t="s">
        <v>3</v>
      </c>
      <c r="G9" s="1"/>
    </row>
    <row r="10" spans="1:7" x14ac:dyDescent="0.25">
      <c r="A10" s="1"/>
      <c r="B10" s="83" t="s">
        <v>10</v>
      </c>
      <c r="C10" s="84"/>
      <c r="D10" s="8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3" t="s">
        <v>29</v>
      </c>
      <c r="C11" s="84"/>
      <c r="D11" s="85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12" t="s">
        <v>207</v>
      </c>
      <c r="C15" s="113"/>
      <c r="D15" s="114"/>
      <c r="E15" s="9">
        <v>0</v>
      </c>
      <c r="F15" s="14" t="s">
        <v>3</v>
      </c>
      <c r="G15" s="1"/>
    </row>
    <row r="16" spans="1:7" x14ac:dyDescent="0.25">
      <c r="A16" s="1"/>
      <c r="B16" s="83" t="s">
        <v>10</v>
      </c>
      <c r="C16" s="84"/>
      <c r="D16" s="8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3" t="s">
        <v>29</v>
      </c>
      <c r="C17" s="84"/>
      <c r="D17" s="85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12" t="s">
        <v>207</v>
      </c>
      <c r="C21" s="113"/>
      <c r="D21" s="114"/>
      <c r="E21" s="9">
        <v>0</v>
      </c>
      <c r="F21" s="14" t="s">
        <v>3</v>
      </c>
      <c r="G21" s="1"/>
    </row>
    <row r="22" spans="1:7" x14ac:dyDescent="0.25">
      <c r="A22" s="1"/>
      <c r="B22" s="83" t="s">
        <v>10</v>
      </c>
      <c r="C22" s="84"/>
      <c r="D22" s="8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3" t="s">
        <v>29</v>
      </c>
      <c r="C23" s="84"/>
      <c r="D23" s="85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12" t="s">
        <v>207</v>
      </c>
      <c r="C27" s="113"/>
      <c r="D27" s="114"/>
      <c r="E27" s="9">
        <v>0</v>
      </c>
      <c r="F27" s="14" t="s">
        <v>3</v>
      </c>
      <c r="G27" s="1"/>
    </row>
    <row r="28" spans="1:7" x14ac:dyDescent="0.25">
      <c r="A28" s="1"/>
      <c r="B28" s="83" t="s">
        <v>10</v>
      </c>
      <c r="C28" s="84"/>
      <c r="D28" s="8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3" t="s">
        <v>29</v>
      </c>
      <c r="C29" s="84"/>
      <c r="D29" s="85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210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166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257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185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32862794.958934333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80173.325400000002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39511.226999999999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648857.21223028633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-134829.02559000551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-763925.35261730687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32732582.345357303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24993475.707204882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-282704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57443354.052562185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188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32732582.345357303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399337.50461335911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-133744.46090815953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-727512.02563695121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32270663.363425549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25276666.25603278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-445115.55973350629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57102214.059724823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189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32270663.363425549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393702.09303379175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-132668.62046461427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-716137.01136010466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31815559.824634619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25563480.308756381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-445115.55973350629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56933924.573657498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191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31815559.824634619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388149.82986054238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-131601.43408159693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-704939.85111898358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31367168.369294584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25853961.059923209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57221129.429217793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194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80" t="s">
        <v>25</v>
      </c>
      <c r="C9" s="81"/>
      <c r="D9" s="82"/>
      <c r="E9" s="7">
        <v>32953860.158812243</v>
      </c>
      <c r="F9" s="8" t="s">
        <v>3</v>
      </c>
      <c r="G9" s="1"/>
    </row>
    <row r="10" spans="1:7" ht="15" customHeight="1" x14ac:dyDescent="0.25">
      <c r="A10" s="1"/>
      <c r="B10" s="83" t="s">
        <v>48</v>
      </c>
      <c r="C10" s="84"/>
      <c r="D10" s="85"/>
      <c r="E10" s="7">
        <v>9511.7615999999998</v>
      </c>
      <c r="F10" s="8" t="s">
        <v>3</v>
      </c>
      <c r="G10" s="1"/>
    </row>
    <row r="11" spans="1:7" ht="15" customHeight="1" x14ac:dyDescent="0.25">
      <c r="A11" s="1"/>
      <c r="B11" s="83" t="s">
        <v>49</v>
      </c>
      <c r="C11" s="84"/>
      <c r="D11" s="85"/>
      <c r="E11" s="9">
        <v>150336.41039999999</v>
      </c>
      <c r="F11" s="8" t="s">
        <v>3</v>
      </c>
      <c r="G11" s="1"/>
    </row>
    <row r="12" spans="1:7" ht="15" customHeight="1" x14ac:dyDescent="0.25">
      <c r="A12" s="1"/>
      <c r="B12" s="83" t="s">
        <v>32</v>
      </c>
      <c r="C12" s="84"/>
      <c r="D12" s="8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31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34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33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20</v>
      </c>
      <c r="C16" s="81"/>
      <c r="D16" s="82"/>
      <c r="E16" s="9">
        <f>SUM(E9:E15)*'Fane 14. Nøgletal'!C12</f>
        <v>652340.05411700113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80" t="s">
        <v>29</v>
      </c>
      <c r="C18" s="81"/>
      <c r="D18" s="82"/>
      <c r="E18" s="9">
        <f>-'Fane 4.1. Gen. krav - drift'!G28</f>
        <v>-133298.5059537398</v>
      </c>
      <c r="F18" s="8" t="s">
        <v>3</v>
      </c>
      <c r="G18" s="1"/>
    </row>
    <row r="19" spans="1:7" ht="15" customHeight="1" x14ac:dyDescent="0.25">
      <c r="A19" s="1"/>
      <c r="B19" s="80" t="s">
        <v>30</v>
      </c>
      <c r="C19" s="81"/>
      <c r="D19" s="82"/>
      <c r="E19" s="9">
        <f>-'Fane 4.2. Gen. krav - anlæg'!G25</f>
        <v>-769954.92004117102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32862794.958934333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6" t="s">
        <v>13</v>
      </c>
      <c r="C22" s="87"/>
      <c r="D22" s="88"/>
      <c r="E22" s="10">
        <v>22039617.157503922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3" t="s">
        <v>109</v>
      </c>
      <c r="C26" s="84"/>
      <c r="D26" s="85"/>
      <c r="E26" s="9">
        <v>0</v>
      </c>
      <c r="F26" s="8" t="s">
        <v>3</v>
      </c>
      <c r="G26" s="1"/>
    </row>
    <row r="27" spans="1:7" ht="15" customHeight="1" x14ac:dyDescent="0.25">
      <c r="A27" s="1"/>
      <c r="B27" s="83" t="s">
        <v>110</v>
      </c>
      <c r="C27" s="84"/>
      <c r="D27" s="84"/>
      <c r="E27" s="9">
        <v>0</v>
      </c>
      <c r="F27" s="8" t="s">
        <v>3</v>
      </c>
      <c r="G27" s="1"/>
    </row>
    <row r="28" spans="1:7" ht="15" customHeight="1" x14ac:dyDescent="0.25">
      <c r="A28" s="1"/>
      <c r="B28" s="93" t="s">
        <v>115</v>
      </c>
      <c r="C28" s="94"/>
      <c r="D28" s="94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6" t="s">
        <v>260</v>
      </c>
      <c r="C30" s="87"/>
      <c r="D30" s="87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6" t="s">
        <v>262</v>
      </c>
      <c r="C32" s="87"/>
      <c r="D32" s="87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6" t="s">
        <v>264</v>
      </c>
      <c r="C34" s="87"/>
      <c r="D34" s="88"/>
      <c r="E34" s="10">
        <v>275967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55178379.116438255</v>
      </c>
      <c r="F35" s="13" t="s">
        <v>3</v>
      </c>
      <c r="G35" s="1"/>
    </row>
    <row r="36" spans="1:7" ht="27" customHeight="1" x14ac:dyDescent="0.25">
      <c r="A36" s="1"/>
      <c r="B36" s="80" t="s">
        <v>218</v>
      </c>
      <c r="C36" s="81"/>
      <c r="D36" s="81"/>
      <c r="E36" s="81"/>
      <c r="F36" s="82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92" t="s">
        <v>163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5" t="s">
        <v>56</v>
      </c>
      <c r="C6" s="96"/>
      <c r="D6" s="96"/>
      <c r="E6" s="96"/>
      <c r="F6" s="97"/>
      <c r="G6" s="24">
        <v>6689761.2848035982</v>
      </c>
      <c r="H6" s="14" t="s">
        <v>3</v>
      </c>
      <c r="I6" s="1"/>
    </row>
    <row r="7" spans="1:9" x14ac:dyDescent="0.25">
      <c r="A7" s="1"/>
      <c r="B7" s="80" t="s">
        <v>181</v>
      </c>
      <c r="C7" s="81"/>
      <c r="D7" s="81"/>
      <c r="E7" s="81"/>
      <c r="F7" s="82"/>
      <c r="G7" s="24">
        <v>0</v>
      </c>
      <c r="H7" s="14" t="s">
        <v>3</v>
      </c>
      <c r="I7" s="1"/>
    </row>
    <row r="8" spans="1:9" x14ac:dyDescent="0.25">
      <c r="A8" s="1"/>
      <c r="B8" s="95" t="s">
        <v>57</v>
      </c>
      <c r="C8" s="96"/>
      <c r="D8" s="96"/>
      <c r="E8" s="96"/>
      <c r="F8" s="97"/>
      <c r="G8" s="24">
        <f>SUM(G6:G7)*'Fane 14. Nøgletal'!C27</f>
        <v>133795.22569607195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5" t="s">
        <v>58</v>
      </c>
      <c r="C12" s="96"/>
      <c r="D12" s="96"/>
      <c r="E12" s="96"/>
      <c r="F12" s="97"/>
      <c r="G12" s="24">
        <f>(G6-G8)*(1+'Fane 14. Nøgletal'!C10)</f>
        <v>6670695.4651419083</v>
      </c>
      <c r="H12" s="14" t="s">
        <v>3</v>
      </c>
      <c r="I12" s="1"/>
    </row>
    <row r="13" spans="1:9" ht="15" customHeight="1" x14ac:dyDescent="0.25">
      <c r="A13" s="1"/>
      <c r="B13" s="95" t="s">
        <v>182</v>
      </c>
      <c r="C13" s="96"/>
      <c r="D13" s="96"/>
      <c r="E13" s="96"/>
      <c r="F13" s="97"/>
      <c r="G13" s="24">
        <f>(6689761.2848036-G6)*1.0175</f>
        <v>1.8952414393424989E-9</v>
      </c>
      <c r="H13" s="14" t="s">
        <v>3</v>
      </c>
      <c r="I13" s="1"/>
    </row>
    <row r="14" spans="1:9" x14ac:dyDescent="0.25">
      <c r="A14" s="1"/>
      <c r="B14" s="80" t="s">
        <v>179</v>
      </c>
      <c r="C14" s="81"/>
      <c r="D14" s="81"/>
      <c r="E14" s="81"/>
      <c r="F14" s="82"/>
      <c r="G14" s="57">
        <v>0</v>
      </c>
      <c r="H14" s="14" t="s">
        <v>3</v>
      </c>
      <c r="I14" s="1"/>
    </row>
    <row r="15" spans="1:9" x14ac:dyDescent="0.25">
      <c r="A15" s="1"/>
      <c r="B15" s="98" t="s">
        <v>59</v>
      </c>
      <c r="C15" s="99"/>
      <c r="D15" s="99"/>
      <c r="E15" s="99"/>
      <c r="F15" s="100"/>
      <c r="G15" s="57">
        <v>0</v>
      </c>
      <c r="H15" s="14" t="s">
        <v>3</v>
      </c>
      <c r="I15" s="1"/>
    </row>
    <row r="16" spans="1:9" x14ac:dyDescent="0.25">
      <c r="A16" s="1"/>
      <c r="B16" s="95" t="s">
        <v>60</v>
      </c>
      <c r="C16" s="96"/>
      <c r="D16" s="96"/>
      <c r="E16" s="96"/>
      <c r="F16" s="97"/>
      <c r="G16" s="24">
        <f>SUM(G12:G15)*'Fane 14. Nøgletal'!C27</f>
        <v>133413.9093028382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5" t="s">
        <v>61</v>
      </c>
      <c r="C20" s="96"/>
      <c r="D20" s="96"/>
      <c r="E20" s="96"/>
      <c r="F20" s="97"/>
      <c r="G20" s="24">
        <f>(SUM(G12:G13,G15)-(G16))*(1+'Fane 14. Nøgletal'!C10)</f>
        <v>6651683.9830662562</v>
      </c>
      <c r="H20" s="14" t="s">
        <v>3</v>
      </c>
      <c r="I20" s="1"/>
    </row>
    <row r="21" spans="1:9" x14ac:dyDescent="0.25">
      <c r="A21" s="1"/>
      <c r="B21" s="98" t="s">
        <v>62</v>
      </c>
      <c r="C21" s="99"/>
      <c r="D21" s="99"/>
      <c r="E21" s="99"/>
      <c r="F21" s="100"/>
      <c r="G21" s="24">
        <v>8164.105890949998</v>
      </c>
      <c r="H21" s="14" t="s">
        <v>3</v>
      </c>
      <c r="I21" s="1"/>
    </row>
    <row r="22" spans="1:9" x14ac:dyDescent="0.25">
      <c r="A22" s="1"/>
      <c r="B22" s="95" t="s">
        <v>63</v>
      </c>
      <c r="C22" s="96"/>
      <c r="D22" s="96"/>
      <c r="E22" s="96"/>
      <c r="F22" s="97"/>
      <c r="G22" s="24">
        <f>SUM(G20:G21)*'Fane 14. Nøgletal'!C27</f>
        <v>133196.96177914413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5" t="s">
        <v>64</v>
      </c>
      <c r="C26" s="96"/>
      <c r="D26" s="96"/>
      <c r="E26" s="96"/>
      <c r="F26" s="97"/>
      <c r="G26" s="24">
        <f>(G20+G21-G22)*(1+'Fane 14. Nøgletal'!C12)</f>
        <v>6655226.1543834703</v>
      </c>
      <c r="H26" s="14" t="s">
        <v>3</v>
      </c>
      <c r="I26" s="1"/>
    </row>
    <row r="27" spans="1:9" x14ac:dyDescent="0.25">
      <c r="A27" s="1"/>
      <c r="B27" s="98" t="s">
        <v>65</v>
      </c>
      <c r="C27" s="99"/>
      <c r="D27" s="99"/>
      <c r="E27" s="99"/>
      <c r="F27" s="100"/>
      <c r="G27" s="24">
        <v>9699.1433035200007</v>
      </c>
      <c r="H27" s="14" t="s">
        <v>3</v>
      </c>
      <c r="I27" s="1"/>
    </row>
    <row r="28" spans="1:9" x14ac:dyDescent="0.25">
      <c r="A28" s="1"/>
      <c r="B28" s="95" t="s">
        <v>66</v>
      </c>
      <c r="C28" s="96"/>
      <c r="D28" s="96"/>
      <c r="E28" s="96"/>
      <c r="F28" s="97"/>
      <c r="G28" s="24">
        <f>(G26+G27)*'Fane 14. Nøgletal'!C27</f>
        <v>133298.5059537398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5" t="s">
        <v>74</v>
      </c>
      <c r="C32" s="96"/>
      <c r="D32" s="96"/>
      <c r="E32" s="96"/>
      <c r="F32" s="97"/>
      <c r="G32" s="24">
        <f>(G26+G27-G28)*(1+'Fane 14. Nøgletal'!C12)</f>
        <v>6660299.8395303963</v>
      </c>
      <c r="H32" s="14" t="s">
        <v>3</v>
      </c>
      <c r="I32" s="1"/>
    </row>
    <row r="33" spans="1:9" x14ac:dyDescent="0.25">
      <c r="A33" s="1"/>
      <c r="B33" s="95" t="s">
        <v>230</v>
      </c>
      <c r="C33" s="96"/>
      <c r="D33" s="96"/>
      <c r="E33" s="96"/>
      <c r="F33" s="97"/>
      <c r="G33" s="24">
        <f>SUM('Fane 2.1. Økonomisk ramme 2021'!C10,'Fane 2.1. Økonomisk ramme 2021'!C12,'Fane 2.1. Økonomisk ramme 2021'!C14)*(1+'Fane 14. Nøgletal'!C13)</f>
        <v>81151.439969879997</v>
      </c>
      <c r="H33" s="14" t="s">
        <v>3</v>
      </c>
      <c r="I33" s="1"/>
    </row>
    <row r="34" spans="1:9" x14ac:dyDescent="0.25">
      <c r="A34" s="1"/>
      <c r="B34" s="95" t="s">
        <v>75</v>
      </c>
      <c r="C34" s="96"/>
      <c r="D34" s="96"/>
      <c r="E34" s="96"/>
      <c r="F34" s="97"/>
      <c r="G34" s="24">
        <f>(G32+G33)*'Fane 14. Nøgletal'!C27</f>
        <v>134829.02559000551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5" t="s">
        <v>99</v>
      </c>
      <c r="C38" s="96"/>
      <c r="D38" s="96"/>
      <c r="E38" s="96"/>
      <c r="F38" s="97"/>
      <c r="G38" s="24">
        <f>(G32+G33-G34)*(1+'Fane 14. Nøgletal'!C13)</f>
        <v>6687223.045407976</v>
      </c>
      <c r="H38" s="14" t="s">
        <v>3</v>
      </c>
      <c r="I38" s="1"/>
    </row>
    <row r="39" spans="1:9" x14ac:dyDescent="0.25">
      <c r="A39" s="1"/>
      <c r="B39" s="95" t="s">
        <v>117</v>
      </c>
      <c r="C39" s="96"/>
      <c r="D39" s="96"/>
      <c r="E39" s="96"/>
      <c r="F39" s="97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5" t="s">
        <v>76</v>
      </c>
      <c r="C40" s="96"/>
      <c r="D40" s="96"/>
      <c r="E40" s="96"/>
      <c r="F40" s="97"/>
      <c r="G40" s="24">
        <f>(G38+G39)*'Fane 14. Nøgletal'!C27</f>
        <v>133744.46090815953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5" t="s">
        <v>98</v>
      </c>
      <c r="C44" s="96"/>
      <c r="D44" s="96"/>
      <c r="E44" s="96"/>
      <c r="F44" s="97"/>
      <c r="G44" s="24">
        <f>(G38+G39-G40)*(1+'Fane 14. Nøgletal'!C13)</f>
        <v>6633431.0232307138</v>
      </c>
      <c r="H44" s="14" t="s">
        <v>3</v>
      </c>
      <c r="I44" s="1"/>
    </row>
    <row r="45" spans="1:9" x14ac:dyDescent="0.25">
      <c r="A45" s="1"/>
      <c r="B45" s="95" t="s">
        <v>118</v>
      </c>
      <c r="C45" s="96"/>
      <c r="D45" s="96"/>
      <c r="E45" s="96"/>
      <c r="F45" s="97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5" t="s">
        <v>77</v>
      </c>
      <c r="C46" s="96"/>
      <c r="D46" s="96"/>
      <c r="E46" s="96"/>
      <c r="F46" s="97"/>
      <c r="G46" s="24">
        <f>(G44+G45)*'Fane 14. Nøgletal'!C27</f>
        <v>132668.62046461427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5" t="s">
        <v>232</v>
      </c>
      <c r="C52" s="96"/>
      <c r="D52" s="96"/>
      <c r="E52" s="96"/>
      <c r="F52" s="97"/>
      <c r="G52" s="24">
        <f>(G44+G45-G46)*(1+'Fane 14. Nøgletal'!C13)</f>
        <v>6580071.7040798459</v>
      </c>
      <c r="H52" s="14" t="s">
        <v>3</v>
      </c>
      <c r="I52" s="1"/>
    </row>
    <row r="53" spans="1:9" x14ac:dyDescent="0.25">
      <c r="A53" s="1"/>
      <c r="B53" s="95" t="s">
        <v>233</v>
      </c>
      <c r="C53" s="96"/>
      <c r="D53" s="96"/>
      <c r="E53" s="96"/>
      <c r="F53" s="97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5" t="s">
        <v>234</v>
      </c>
      <c r="C54" s="96"/>
      <c r="D54" s="96"/>
      <c r="E54" s="96"/>
      <c r="F54" s="97"/>
      <c r="G54" s="24">
        <f>(G52+G53)*'Fane 14. Nøgletal'!C27</f>
        <v>131601.43408159693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1" t="s">
        <v>164</v>
      </c>
      <c r="C1" s="101"/>
      <c r="D1" s="101"/>
      <c r="E1" s="101"/>
      <c r="F1" s="101"/>
      <c r="G1" s="101"/>
      <c r="H1" s="101"/>
      <c r="I1" s="1"/>
    </row>
    <row r="2" spans="1:9" ht="15" customHeight="1" x14ac:dyDescent="0.25">
      <c r="A2" s="1"/>
      <c r="B2" s="101"/>
      <c r="C2" s="101"/>
      <c r="D2" s="101"/>
      <c r="E2" s="101"/>
      <c r="F2" s="101"/>
      <c r="G2" s="101"/>
      <c r="H2" s="101"/>
      <c r="I2" s="1"/>
    </row>
    <row r="3" spans="1:9" ht="1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5" t="s">
        <v>78</v>
      </c>
      <c r="C5" s="96"/>
      <c r="D5" s="96"/>
      <c r="E5" s="96"/>
      <c r="F5" s="97"/>
      <c r="G5" s="24">
        <v>26947545.305338543</v>
      </c>
      <c r="H5" s="14" t="s">
        <v>3</v>
      </c>
      <c r="I5" s="1"/>
    </row>
    <row r="6" spans="1:9" x14ac:dyDescent="0.25">
      <c r="A6" s="1"/>
      <c r="B6" s="95" t="s">
        <v>72</v>
      </c>
      <c r="C6" s="96"/>
      <c r="D6" s="96"/>
      <c r="E6" s="96"/>
      <c r="F6" s="97"/>
      <c r="G6" s="24">
        <f>G5*'Fane 14. Nøgletal'!C18</f>
        <v>245222.66227858074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5" t="s">
        <v>80</v>
      </c>
      <c r="C10" s="96"/>
      <c r="D10" s="96"/>
      <c r="E10" s="96"/>
      <c r="F10" s="97"/>
      <c r="G10" s="24">
        <f>(G5-G6)*(1+'Fane 14. Nøgletal'!C10)</f>
        <v>27169613.289313514</v>
      </c>
      <c r="H10" s="14" t="s">
        <v>3</v>
      </c>
      <c r="I10" s="1"/>
    </row>
    <row r="11" spans="1:9" x14ac:dyDescent="0.25">
      <c r="A11" s="1"/>
      <c r="B11" s="95" t="s">
        <v>183</v>
      </c>
      <c r="C11" s="96"/>
      <c r="D11" s="96"/>
      <c r="E11" s="96"/>
      <c r="F11" s="97"/>
      <c r="G11" s="24">
        <f>(26689347.8782226-G5)*1.0175</f>
        <v>-262715.88209047233</v>
      </c>
      <c r="H11" s="14" t="s">
        <v>3</v>
      </c>
      <c r="I11" s="1"/>
    </row>
    <row r="12" spans="1:9" x14ac:dyDescent="0.25">
      <c r="A12" s="1"/>
      <c r="B12" s="98" t="s">
        <v>81</v>
      </c>
      <c r="C12" s="99"/>
      <c r="D12" s="99"/>
      <c r="E12" s="99"/>
      <c r="F12" s="100"/>
      <c r="G12" s="24">
        <v>0</v>
      </c>
      <c r="H12" s="14" t="s">
        <v>3</v>
      </c>
      <c r="I12" s="1"/>
    </row>
    <row r="13" spans="1:9" x14ac:dyDescent="0.25">
      <c r="A13" s="1"/>
      <c r="B13" s="95" t="s">
        <v>82</v>
      </c>
      <c r="C13" s="96"/>
      <c r="D13" s="96"/>
      <c r="E13" s="96"/>
      <c r="F13" s="97"/>
      <c r="G13" s="24">
        <f>SUM(G10:G12)*'Fane 14. Nøgletal'!C19</f>
        <v>476252.08410784788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5" t="s">
        <v>84</v>
      </c>
      <c r="C17" s="96"/>
      <c r="D17" s="96"/>
      <c r="E17" s="96"/>
      <c r="F17" s="97"/>
      <c r="G17" s="24">
        <f>(SUM(G10:G12)-G13)*(1+'Fane 14. Nøgletal'!C10)</f>
        <v>26893181.616269711</v>
      </c>
      <c r="H17" s="14" t="s">
        <v>3</v>
      </c>
      <c r="I17" s="1"/>
    </row>
    <row r="18" spans="1:9" x14ac:dyDescent="0.25">
      <c r="A18" s="1"/>
      <c r="B18" s="98" t="s">
        <v>85</v>
      </c>
      <c r="C18" s="99"/>
      <c r="D18" s="99"/>
      <c r="E18" s="99"/>
      <c r="F18" s="100"/>
      <c r="G18" s="24">
        <v>19983.704413249994</v>
      </c>
      <c r="H18" s="14" t="s">
        <v>3</v>
      </c>
      <c r="I18" s="1"/>
    </row>
    <row r="19" spans="1:9" x14ac:dyDescent="0.25">
      <c r="A19" s="1"/>
      <c r="B19" s="95" t="s">
        <v>86</v>
      </c>
      <c r="C19" s="96"/>
      <c r="D19" s="96"/>
      <c r="E19" s="96"/>
      <c r="F19" s="97"/>
      <c r="G19" s="24">
        <f>G17*'Fane 14. Nøgletal'!C19+G18*'Fane 14. Nøgletal'!C20</f>
        <v>476183.17283636919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5" t="s">
        <v>88</v>
      </c>
      <c r="C23" s="96"/>
      <c r="D23" s="96"/>
      <c r="E23" s="96"/>
      <c r="F23" s="97"/>
      <c r="G23" s="24">
        <f>(G17+G18-G19)*(1+'Fane 14. Nøgletal'!C12)</f>
        <v>26957790.696159169</v>
      </c>
      <c r="H23" s="14" t="s">
        <v>3</v>
      </c>
      <c r="I23" s="1"/>
    </row>
    <row r="24" spans="1:9" x14ac:dyDescent="0.25">
      <c r="A24" s="1"/>
      <c r="B24" s="98" t="s">
        <v>89</v>
      </c>
      <c r="C24" s="99"/>
      <c r="D24" s="99"/>
      <c r="E24" s="99"/>
      <c r="F24" s="100"/>
      <c r="G24" s="24">
        <v>153298.03768487999</v>
      </c>
      <c r="H24" s="14" t="s">
        <v>3</v>
      </c>
      <c r="I24" s="1"/>
    </row>
    <row r="25" spans="1:9" x14ac:dyDescent="0.25">
      <c r="A25" s="1"/>
      <c r="B25" s="95" t="s">
        <v>90</v>
      </c>
      <c r="C25" s="96"/>
      <c r="D25" s="96"/>
      <c r="E25" s="96"/>
      <c r="F25" s="97"/>
      <c r="G25" s="24">
        <f>(G23+G24)*'Fane 14. Nøgletal'!C21</f>
        <v>769954.92004117102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5" t="s">
        <v>92</v>
      </c>
      <c r="C29" s="96"/>
      <c r="D29" s="96"/>
      <c r="E29" s="96"/>
      <c r="F29" s="97"/>
      <c r="G29" s="24">
        <f>(G23+G24-G25)*(1+'Fane 14. Nøgletal'!C12)</f>
        <v>26860054.149934798</v>
      </c>
      <c r="H29" s="14" t="s">
        <v>3</v>
      </c>
      <c r="I29" s="1"/>
    </row>
    <row r="30" spans="1:9" x14ac:dyDescent="0.25">
      <c r="A30" s="1"/>
      <c r="B30" s="95" t="s">
        <v>235</v>
      </c>
      <c r="C30" s="96"/>
      <c r="D30" s="96"/>
      <c r="E30" s="96"/>
      <c r="F30" s="97"/>
      <c r="G30" s="24">
        <f>SUM('Fane 2.1. Økonomisk ramme 2021'!C11,'Fane 2.1. Økonomisk ramme 2021'!C13,'Fane 2.1. Økonomisk ramme 2021'!C15)*(1+'Fane 14. Nøgletal'!C13)</f>
        <v>39993.263969399995</v>
      </c>
      <c r="H30" s="14" t="s">
        <v>3</v>
      </c>
      <c r="I30" s="1"/>
    </row>
    <row r="31" spans="1:9" x14ac:dyDescent="0.25">
      <c r="A31" s="1"/>
      <c r="B31" s="95" t="s">
        <v>93</v>
      </c>
      <c r="C31" s="96"/>
      <c r="D31" s="96"/>
      <c r="E31" s="96"/>
      <c r="F31" s="97"/>
      <c r="G31" s="24">
        <f>G29*'Fane 14. Nøgletal'!C21+G30*'Fane 14. Nøgletal'!C22</f>
        <v>763925.35261730687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5" t="s">
        <v>97</v>
      </c>
      <c r="C35" s="96"/>
      <c r="D35" s="96"/>
      <c r="E35" s="96"/>
      <c r="F35" s="97"/>
      <c r="G35" s="24">
        <f>(G29+G30-G31)*(1+'Fane 14. Nøgletal'!C13)</f>
        <v>26454982.750434589</v>
      </c>
      <c r="H35" s="14" t="s">
        <v>3</v>
      </c>
      <c r="I35" s="1"/>
    </row>
    <row r="36" spans="1:9" x14ac:dyDescent="0.25">
      <c r="A36" s="1"/>
      <c r="B36" s="95" t="s">
        <v>122</v>
      </c>
      <c r="C36" s="96"/>
      <c r="D36" s="96"/>
      <c r="E36" s="96"/>
      <c r="F36" s="97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5" t="s">
        <v>94</v>
      </c>
      <c r="C37" s="96"/>
      <c r="D37" s="96"/>
      <c r="E37" s="96"/>
      <c r="F37" s="97"/>
      <c r="G37" s="24">
        <f>(G35+G36)*'Fane 14. Nøgletal'!C22</f>
        <v>727512.02563695121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5" t="s">
        <v>96</v>
      </c>
      <c r="C41" s="96"/>
      <c r="D41" s="96"/>
      <c r="E41" s="96"/>
      <c r="F41" s="97"/>
      <c r="G41" s="24">
        <f>(G35+G36-G37)*(1+'Fane 14. Nøgletal'!C13)</f>
        <v>26041345.867640167</v>
      </c>
      <c r="H41" s="14" t="s">
        <v>3</v>
      </c>
      <c r="I41" s="1"/>
    </row>
    <row r="42" spans="1:9" x14ac:dyDescent="0.25">
      <c r="A42" s="1"/>
      <c r="B42" s="95" t="s">
        <v>123</v>
      </c>
      <c r="C42" s="96"/>
      <c r="D42" s="96"/>
      <c r="E42" s="96"/>
      <c r="F42" s="97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5" t="s">
        <v>95</v>
      </c>
      <c r="C43" s="96"/>
      <c r="D43" s="96"/>
      <c r="E43" s="96"/>
      <c r="F43" s="97"/>
      <c r="G43" s="24">
        <f>(G41+G42)*'Fane 14. Nøgletal'!C22</f>
        <v>716137.01136010466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5" t="s">
        <v>241</v>
      </c>
      <c r="C47" s="96"/>
      <c r="D47" s="96"/>
      <c r="E47" s="96"/>
      <c r="F47" s="97"/>
      <c r="G47" s="24">
        <f>(G41+G42-G43)*(1+'Fane 14. Nøgletal'!C13)</f>
        <v>25634176.404326677</v>
      </c>
      <c r="H47" s="14" t="s">
        <v>3</v>
      </c>
      <c r="I47" s="1"/>
    </row>
    <row r="48" spans="1:9" x14ac:dyDescent="0.25">
      <c r="A48" s="1"/>
      <c r="B48" s="95" t="s">
        <v>242</v>
      </c>
      <c r="C48" s="96"/>
      <c r="D48" s="96"/>
      <c r="E48" s="96"/>
      <c r="F48" s="97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5" t="s">
        <v>243</v>
      </c>
      <c r="C49" s="96"/>
      <c r="D49" s="96"/>
      <c r="E49" s="96"/>
      <c r="F49" s="97"/>
      <c r="G49" s="24">
        <f>(G47+G48)*'Fane 14. Nøgletal'!C22</f>
        <v>704939.85111898358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116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5" t="s">
        <v>104</v>
      </c>
      <c r="C9" s="96"/>
      <c r="D9" s="96"/>
      <c r="E9" s="96"/>
      <c r="F9" s="97"/>
      <c r="G9" s="23">
        <v>0</v>
      </c>
      <c r="H9" s="14"/>
      <c r="I9" s="1"/>
    </row>
    <row r="10" spans="1:9" x14ac:dyDescent="0.25">
      <c r="A10" s="1"/>
      <c r="B10" s="95" t="s">
        <v>105</v>
      </c>
      <c r="C10" s="96"/>
      <c r="D10" s="96"/>
      <c r="E10" s="96"/>
      <c r="F10" s="97"/>
      <c r="G10" s="23">
        <v>1.4428823703983455E-4</v>
      </c>
      <c r="H10" s="14"/>
      <c r="I10" s="1"/>
    </row>
    <row r="11" spans="1:9" x14ac:dyDescent="0.25">
      <c r="A11" s="1"/>
      <c r="B11" s="95" t="s">
        <v>106</v>
      </c>
      <c r="C11" s="96"/>
      <c r="D11" s="96"/>
      <c r="E11" s="96"/>
      <c r="F11" s="97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80" t="s">
        <v>258</v>
      </c>
      <c r="C13" s="81"/>
      <c r="D13" s="81"/>
      <c r="E13" s="81"/>
      <c r="F13" s="81"/>
      <c r="G13" s="81"/>
      <c r="H13" s="82"/>
      <c r="I13" s="1"/>
    </row>
    <row r="14" spans="1:9" ht="14.25" customHeight="1" x14ac:dyDescent="0.25">
      <c r="A14" s="18"/>
      <c r="B14" s="103"/>
      <c r="C14" s="103"/>
      <c r="D14" s="103"/>
      <c r="E14" s="103"/>
      <c r="F14" s="103"/>
      <c r="G14" s="103"/>
      <c r="H14" s="103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2020-10-23T08:32:51Z</dcterms:modified>
</cp:coreProperties>
</file>