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Forsyning Helsingør Vand AS (V053)\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4" i="19"/>
  <c r="C15" i="19" l="1"/>
  <c r="F11" i="11" l="1"/>
  <c r="E10" i="37" s="1"/>
  <c r="C10" i="37"/>
  <c r="C13" i="37" s="1"/>
  <c r="C14" i="37" s="1"/>
  <c r="C15" i="23" l="1"/>
  <c r="C15" i="22" l="1"/>
  <c r="C15" i="15"/>
  <c r="C12" i="29"/>
  <c r="G36" i="36" l="1"/>
  <c r="G36" i="30"/>
  <c r="G6" i="30" l="1"/>
  <c r="E13" i="39" l="1"/>
  <c r="C13"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<sst xmlns="http://schemas.openxmlformats.org/spreadsheetml/2006/main" count="512" uniqueCount="255">
  <si>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</si>
  <si>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</si>
  <si>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</si>
  <si>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</si>
  <si>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</si>
  <si>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</si>
  <si>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</si>
  <si>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</si>
  <si>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</si>
  <si>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</si>
  <si>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</si>
  <si>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</si>
  <si>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</si>
  <si>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</si>
  <si>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</si>
  <si>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</si>
  <si>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</si>
  <si>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</si>
  <si>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</si>
  <si>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</si>
  <si>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</si>
  <si>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</si>
  <si>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</si>
  <si>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</si>
  <si>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</si>
  <si>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</si>
  <si>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</si>
  <si>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</si>
  <si>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</si>
  <si>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</si>
  <si>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</si>
  <si>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</si>
  <si>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</si>
  <si>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</si>
  <si>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</si>
  <si>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</si>
  <si>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</si>
  <si>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</si>
  <si>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</si>
  <si>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</si>
  <si>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</si>
  <si>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</si>
  <si>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</si>
  <si>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</si>
  <si>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</si>
  <si>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</si>
  <si>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</si>
  <si>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</si>
  <si>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</si>
  <si>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</si>
  <si>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</si>
  <si>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</si>
  <si>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</si>
  <si>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</si>
  <si>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</si>
  <si>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</si>
  <si>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</si>
  <si>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</si>
  <si>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</si>
  <si>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</si>
  <si>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</si>
  <si>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</si>
  <si>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</si>
  <si>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</si>
  <si>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</si>
  <si>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</si>
  <si>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</si>
  <si>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</si>
  <si>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</si>
  <si>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</si>
  <si>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</si>
  <si>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</si>
  <si>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</si>
  <si>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</si>
  <si>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</si>
  <si>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</si>
  <si>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</si>
  <si>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</si>
  <si>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</si>
  <si>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</si>
  <si>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</si>
  <si>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</si>
  <si>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</si>
  <si>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</si>
  <si>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</si>
  <si>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</si>
  <si>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</si>
  <si>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</si>
  <si>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</si>
  <si>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</si>
  <si>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</si>
  <si>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</si>
  <si>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</si>
  <si>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</si>
  <si>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</si>
  <si>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</si>
  <si>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</si>
  <si>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</si>
  <si>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</si>
  <si>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</si>
  <si>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</si>
  <si>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</si>
  <si>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</si>
  <si>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</si>
  <si>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</si>
  <si>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</si>
  <si>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</si>
  <si>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</si>
  <si>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</si>
  <si>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</si>
  <si>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</si>
  <si>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</si>
  <si>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</si>
  <si>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</si>
  <si>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</si>
  <si>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</si>
  <si>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</si>
  <si>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</si>
  <si>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</si>
  <si>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</si>
  <si>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</si>
  <si>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</si>
  <si>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</si>
  <si>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</si>
  <si>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</si>
  <si>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</si>
  <si>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</si>
  <si>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</si>
  <si>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</si>
  <si>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</si>
  <si>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</si>
  <si>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</si>
  <si>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</si>
  <si>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</si>
  <si>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</si>
  <si>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</si>
  <si>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</si>
  <si>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</si>
  <si>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</si>
  <si>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</si>
  <si>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</si>
  <si>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</si>
  <si>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</si>
  <si>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</si>
  <si>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</si>
  <si>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</si>
  <si>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</si>
  <si>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</si>
  <si>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</si>
  <si>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</si>
  <si>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</si>
  <si>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</si>
  <si>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</si>
  <si>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</si>
  <si>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</si>
  <si>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</si>
  <si>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</si>
  <si>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</si>
  <si>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</si>
  <si>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</si>
  <si>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</si>
  <si>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</si>
  <si>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</si>
  <si>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</si>
  <si>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</si>
  <si>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</si>
  <si>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</si>
  <si>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</si>
  <si>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</si>
  <si>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</si>
  <si>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</si>
  <si>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</si>
  <si>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</si>
  <si>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</si>
  <si>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</si>
  <si>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</si>
  <si>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</si>
  <si>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</si>
  <si>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</si>
  <si>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</si>
  <si>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</si>
  <si>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</si>
  <si>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</si>
  <si>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</si>
  <si>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</si>
  <si>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</si>
  <si>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</si>
  <si>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</si>
  <si>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</si>
  <si>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</si>
  <si>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</si>
  <si>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</si>
  <si>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</si>
  <si>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</si>
  <si>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</si>
  <si>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</si>
  <si>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</si>
  <si>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</si>
  <si>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</si>
  <si>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</si>
  <si>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</si>
  <si>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</si>
  <si>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</si>
  <si>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</si>
  <si>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</si>
  <si>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</si>
  <si>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</si>
  <si>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</si>
  <si>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</si>
  <si>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</si>
  <si>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</si>
  <si>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</si>
  <si>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</si>
  <si>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</si>
  <si>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</si>
  <si>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</si>
  <si>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</si>
  <si>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</si>
  <si>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</si>
  <si>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</si>
  <si>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</si>
  <si>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</si>
  <si>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</si>
  <si>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</si>
  <si>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</si>
  <si>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</si>
  <si>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</si>
  <si>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</si>
  <si>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</si>
  <si>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</si>
  <si>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</si>
  <si>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</si>
  <si>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</si>
  <si>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</si>
  <si>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Selskabsskatter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</si>
  <si>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</si>
  <si>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</si>
  <si>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</si>
  <si>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</si>
  <si>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</si>
  <si>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</si>
  <si>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</si>
  <si>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</si>
  <si>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</si>
  <si>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</si>
  <si>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</si>
  <si>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</si>
  <si>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</si>
  <si>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</si>
  <si>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</si>
  <si>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</si>
  <si>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Flytning af ledninger</t>
  </si>
  <si>
    <t>Udvidelse af forsyningsområdet</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</si>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</sst>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0" fillId="0" borderId="0" xfId="0" applyFill="1" applyAlignment="1" applyProtection="1">
      <alignment horizontal="righ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90" zoomScaleNormal="100" zoomScalePageLayoutView="9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8" t="s">
        <v>4</v>
      </c>
      <c r="E6" s="98"/>
      <c r="F6" s="98"/>
      <c r="G6" s="98"/>
      <c r="H6" s="3"/>
      <c r="I6" s="1"/>
    </row>
    <row r="7" spans="1:9" ht="15" customHeight="1" x14ac:dyDescent="0.25">
      <c r="A7" s="1"/>
      <c r="B7" s="1"/>
      <c r="C7" s="3"/>
      <c r="D7" s="98"/>
      <c r="E7" s="98"/>
      <c r="F7" s="98"/>
      <c r="G7" s="98"/>
      <c r="H7" s="3"/>
      <c r="I7" s="1"/>
    </row>
    <row r="8" spans="1:9" ht="15.75" x14ac:dyDescent="0.25">
      <c r="A8" s="1"/>
      <c r="B8" s="1"/>
      <c r="C8" s="4"/>
      <c r="D8" s="100" t="s">
        <v>194</v>
      </c>
      <c r="E8" s="100"/>
      <c r="F8" s="100"/>
      <c r="G8" s="10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1"/>
      <c r="I12" s="1"/>
    </row>
    <row r="13" spans="1:9" x14ac:dyDescent="0.25">
      <c r="A13" s="1"/>
      <c r="B13" s="1"/>
      <c r="C13" s="6" t="s">
        <v>6</v>
      </c>
      <c r="D13" s="95" t="s">
        <v>161</v>
      </c>
      <c r="E13" s="96"/>
      <c r="F13" s="96"/>
      <c r="G13" s="97"/>
      <c r="H13" s="1"/>
      <c r="I13" s="1"/>
    </row>
    <row r="14" spans="1:9" x14ac:dyDescent="0.25">
      <c r="A14" s="1"/>
      <c r="B14" s="1"/>
      <c r="C14" s="6" t="s">
        <v>14</v>
      </c>
      <c r="D14" s="95" t="s">
        <v>204</v>
      </c>
      <c r="E14" s="96"/>
      <c r="F14" s="96"/>
      <c r="G14" s="97"/>
      <c r="H14" s="1"/>
      <c r="I14" s="1"/>
    </row>
    <row r="15" spans="1:9" x14ac:dyDescent="0.25">
      <c r="A15" s="1"/>
      <c r="B15" s="1"/>
      <c r="C15" s="6" t="s">
        <v>32</v>
      </c>
      <c r="D15" s="95" t="s">
        <v>137</v>
      </c>
      <c r="E15" s="96"/>
      <c r="F15" s="96"/>
      <c r="G15" s="97"/>
      <c r="H15" s="1"/>
      <c r="I15" s="1"/>
    </row>
    <row r="16" spans="1:9" x14ac:dyDescent="0.25">
      <c r="A16" s="1"/>
      <c r="B16" s="1"/>
      <c r="C16" s="6" t="s">
        <v>33</v>
      </c>
      <c r="D16" s="95" t="s">
        <v>162</v>
      </c>
      <c r="E16" s="96"/>
      <c r="F16" s="96"/>
      <c r="G16" s="97"/>
      <c r="H16" s="1"/>
      <c r="I16" s="1"/>
    </row>
    <row r="17" spans="1:9" x14ac:dyDescent="0.25">
      <c r="A17" s="1"/>
      <c r="B17" s="1"/>
      <c r="C17" s="6" t="s">
        <v>110</v>
      </c>
      <c r="D17" s="95" t="s">
        <v>163</v>
      </c>
      <c r="E17" s="96"/>
      <c r="F17" s="96"/>
      <c r="G17" s="97"/>
      <c r="H17" s="1"/>
      <c r="I17" s="1"/>
    </row>
    <row r="18" spans="1:9" x14ac:dyDescent="0.25">
      <c r="A18" s="1"/>
      <c r="B18" s="1"/>
      <c r="C18" s="6" t="s">
        <v>94</v>
      </c>
      <c r="D18" s="101" t="s">
        <v>86</v>
      </c>
      <c r="E18" s="102"/>
      <c r="F18" s="102"/>
      <c r="G18" s="103"/>
      <c r="H18" s="1"/>
      <c r="I18" s="1"/>
    </row>
    <row r="19" spans="1:9" x14ac:dyDescent="0.25">
      <c r="A19" s="1"/>
      <c r="B19" s="1"/>
      <c r="C19" s="6" t="s">
        <v>95</v>
      </c>
      <c r="D19" s="101" t="s">
        <v>87</v>
      </c>
      <c r="E19" s="102"/>
      <c r="F19" s="102"/>
      <c r="G19" s="103"/>
      <c r="H19" s="1"/>
      <c r="I19" s="1"/>
    </row>
    <row r="20" spans="1:9" x14ac:dyDescent="0.25">
      <c r="A20" s="1"/>
      <c r="B20" s="1"/>
      <c r="C20" s="6" t="s">
        <v>7</v>
      </c>
      <c r="D20" s="101" t="s">
        <v>9</v>
      </c>
      <c r="E20" s="102"/>
      <c r="F20" s="102"/>
      <c r="G20" s="103"/>
      <c r="H20" s="1"/>
      <c r="I20" s="1"/>
    </row>
    <row r="21" spans="1:9" x14ac:dyDescent="0.25">
      <c r="A21" s="1"/>
      <c r="B21" s="1"/>
      <c r="C21" s="6" t="s">
        <v>96</v>
      </c>
      <c r="D21" s="92" t="s">
        <v>11</v>
      </c>
      <c r="E21" s="93"/>
      <c r="F21" s="93"/>
      <c r="G21" s="94"/>
      <c r="H21" s="1"/>
      <c r="I21" s="1"/>
    </row>
    <row r="22" spans="1:9" x14ac:dyDescent="0.25">
      <c r="A22" s="1"/>
      <c r="B22" s="1"/>
      <c r="C22" s="6" t="s">
        <v>78</v>
      </c>
      <c r="D22" s="86" t="s">
        <v>164</v>
      </c>
      <c r="E22" s="87"/>
      <c r="F22" s="87"/>
      <c r="G22" s="88"/>
      <c r="H22" s="1"/>
      <c r="I22" s="1"/>
    </row>
    <row r="23" spans="1:9" x14ac:dyDescent="0.25">
      <c r="A23" s="1"/>
      <c r="B23" s="1"/>
      <c r="C23" s="6" t="s">
        <v>8</v>
      </c>
      <c r="D23" s="86" t="s">
        <v>219</v>
      </c>
      <c r="E23" s="87"/>
      <c r="F23" s="87"/>
      <c r="G23" s="88"/>
      <c r="H23" s="1"/>
      <c r="I23" s="1"/>
    </row>
    <row r="24" spans="1:9" x14ac:dyDescent="0.25">
      <c r="A24" s="1"/>
      <c r="B24" s="1"/>
      <c r="C24" s="6" t="s">
        <v>215</v>
      </c>
      <c r="D24" s="86" t="s">
        <v>205</v>
      </c>
      <c r="E24" s="87"/>
      <c r="F24" s="87"/>
      <c r="G24" s="88"/>
      <c r="H24" s="1"/>
      <c r="I24" s="1"/>
    </row>
    <row r="25" spans="1:9" x14ac:dyDescent="0.25">
      <c r="A25" s="1"/>
      <c r="B25" s="1"/>
      <c r="C25" s="6" t="s">
        <v>216</v>
      </c>
      <c r="D25" s="86" t="s">
        <v>79</v>
      </c>
      <c r="E25" s="87"/>
      <c r="F25" s="87"/>
      <c r="G25" s="88"/>
      <c r="H25" s="1"/>
      <c r="I25" s="1"/>
    </row>
    <row r="26" spans="1:9" x14ac:dyDescent="0.25">
      <c r="A26" s="1"/>
      <c r="B26" s="1"/>
      <c r="C26" s="6" t="s">
        <v>217</v>
      </c>
      <c r="D26" s="86" t="s">
        <v>80</v>
      </c>
      <c r="E26" s="87"/>
      <c r="F26" s="87"/>
      <c r="G26" s="88"/>
      <c r="H26" s="1"/>
      <c r="I26" s="1"/>
    </row>
    <row r="27" spans="1:9" x14ac:dyDescent="0.25">
      <c r="A27" s="1"/>
      <c r="B27" s="1"/>
      <c r="C27" s="6" t="s">
        <v>97</v>
      </c>
      <c r="D27" s="86" t="s">
        <v>111</v>
      </c>
      <c r="E27" s="87"/>
      <c r="F27" s="87"/>
      <c r="G27" s="88"/>
      <c r="H27" s="1"/>
      <c r="I27" s="1"/>
    </row>
    <row r="28" spans="1:9" x14ac:dyDescent="0.25">
      <c r="A28" s="1"/>
      <c r="B28" s="1"/>
      <c r="C28" s="6" t="s">
        <v>91</v>
      </c>
      <c r="D28" s="86" t="s">
        <v>34</v>
      </c>
      <c r="E28" s="87"/>
      <c r="F28" s="87"/>
      <c r="G28" s="88"/>
      <c r="H28" s="1"/>
      <c r="I28" s="1"/>
    </row>
    <row r="29" spans="1:9" x14ac:dyDescent="0.25">
      <c r="A29" s="1"/>
      <c r="B29" s="1"/>
      <c r="C29" s="6" t="s">
        <v>218</v>
      </c>
      <c r="D29" s="89" t="s">
        <v>92</v>
      </c>
      <c r="E29" s="90"/>
      <c r="F29" s="90"/>
      <c r="G29" s="9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v9l/1Eh0MSJMeITwoRBPI+3TQo59xmy/Dz94j05DjAKv0tK0DvAzQNq8m2BBTi8j53POLoAF0coSQHVAmmFjZA==" saltValue="0KoWs7ydBBIYM8h4PQXmUA=="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4.85546875" style="2" customWidth="1"/>
    <col min="5" max="5" width="4.71093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4" t="s">
        <v>100</v>
      </c>
      <c r="C3" s="104"/>
      <c r="D3" s="104"/>
      <c r="E3" s="1"/>
      <c r="F3" s="1"/>
    </row>
    <row r="4" spans="1:6" ht="15" customHeight="1" x14ac:dyDescent="0.25">
      <c r="A4" s="1"/>
      <c r="B4" s="104"/>
      <c r="C4" s="104"/>
      <c r="D4" s="10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181</v>
      </c>
      <c r="C8" s="128"/>
      <c r="D8" s="129"/>
      <c r="E8" s="1"/>
      <c r="F8" s="1"/>
    </row>
    <row r="9" spans="1:6" ht="15" customHeight="1" x14ac:dyDescent="0.25">
      <c r="A9" s="1"/>
      <c r="B9" s="33" t="s">
        <v>30</v>
      </c>
      <c r="C9" s="11" t="s">
        <v>212</v>
      </c>
      <c r="D9" s="11"/>
      <c r="E9" s="1"/>
      <c r="F9" s="1"/>
    </row>
    <row r="10" spans="1:6" x14ac:dyDescent="0.25">
      <c r="A10" s="1"/>
      <c r="B10" s="79" t="s">
        <v>231</v>
      </c>
      <c r="C10" s="9">
        <v>18524670</v>
      </c>
      <c r="D10" s="14" t="s">
        <v>3</v>
      </c>
      <c r="E10" s="1"/>
      <c r="F10" s="1"/>
    </row>
    <row r="11" spans="1:6" x14ac:dyDescent="0.25">
      <c r="A11" s="1"/>
      <c r="B11" s="79" t="s">
        <v>232</v>
      </c>
      <c r="C11" s="9">
        <v>127980</v>
      </c>
      <c r="D11" s="14" t="s">
        <v>3</v>
      </c>
      <c r="E11" s="1"/>
      <c r="F11" s="1"/>
    </row>
    <row r="12" spans="1:6" x14ac:dyDescent="0.25">
      <c r="A12" s="1"/>
      <c r="B12" s="79" t="s">
        <v>233</v>
      </c>
      <c r="C12" s="9">
        <v>320469</v>
      </c>
      <c r="D12" s="14" t="s">
        <v>3</v>
      </c>
      <c r="E12" s="1"/>
      <c r="F12" s="1"/>
    </row>
    <row r="13" spans="1:6" x14ac:dyDescent="0.25">
      <c r="A13" s="1"/>
      <c r="B13" s="79" t="s">
        <v>234</v>
      </c>
      <c r="C13" s="9">
        <v>2780</v>
      </c>
      <c r="D13" s="14" t="s">
        <v>3</v>
      </c>
      <c r="E13" s="1"/>
      <c r="F13" s="1"/>
    </row>
    <row r="14" spans="1:6" x14ac:dyDescent="0.25">
      <c r="A14" s="1"/>
      <c r="B14" s="71" t="s">
        <v>182</v>
      </c>
      <c r="C14" s="12">
        <f>SUM(C10:C13)</f>
        <v>18975899</v>
      </c>
      <c r="D14" s="13" t="s">
        <v>3</v>
      </c>
      <c r="E14" s="1"/>
      <c r="F14" s="1"/>
    </row>
    <row r="15" spans="1:6" x14ac:dyDescent="0.25">
      <c r="A15" s="1"/>
      <c r="B15" s="71" t="s">
        <v>183</v>
      </c>
      <c r="C15" s="12">
        <f>C14*(1+'Fane 13. Nøgletal'!C15)^2</f>
        <v>20351032.304156642</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5"/>
      <c r="B51" s="55"/>
      <c r="C51" s="55"/>
      <c r="D51" s="55"/>
      <c r="E51" s="55"/>
      <c r="F51" s="55"/>
    </row>
  </sheetData>
  <sheetProtection algorithmName="SHA-512" hashValue="pavq6Cmax0vhq1fYoNKzzZVFW3Rgi68U/YdY6n7pDkKEE6EkQLXezO/8bniFNJ6KAJD3LsFUSMtBNIMQehrWHA==" saltValue="nQsTKtLiNbXR/Rf3OcJ7Y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710937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184</v>
      </c>
      <c r="C3" s="112"/>
      <c r="D3" s="112"/>
      <c r="E3" s="112"/>
      <c r="F3" s="112"/>
      <c r="G3" s="1"/>
    </row>
    <row r="4" spans="1:7" ht="15" customHeight="1" x14ac:dyDescent="0.25">
      <c r="A4" s="1"/>
      <c r="B4" s="112"/>
      <c r="C4" s="112"/>
      <c r="D4" s="112"/>
      <c r="E4" s="112"/>
      <c r="F4" s="112"/>
      <c r="G4" s="1"/>
    </row>
    <row r="5" spans="1:7" ht="15" customHeight="1" x14ac:dyDescent="0.25">
      <c r="A5" s="1"/>
      <c r="B5" s="67"/>
      <c r="C5" s="67"/>
      <c r="D5" s="67"/>
      <c r="E5" s="67"/>
      <c r="F5" s="67"/>
      <c r="G5" s="1"/>
    </row>
    <row r="6" spans="1:7" ht="15" customHeight="1" x14ac:dyDescent="0.25">
      <c r="A6" s="1"/>
      <c r="B6" s="67"/>
      <c r="C6" s="67"/>
      <c r="D6" s="67"/>
      <c r="E6" s="67"/>
      <c r="F6" s="67"/>
      <c r="G6" s="1"/>
    </row>
    <row r="7" spans="1:7" x14ac:dyDescent="0.25">
      <c r="A7" s="1"/>
      <c r="B7" s="1"/>
      <c r="C7" s="1"/>
      <c r="D7" s="1"/>
      <c r="E7" s="1"/>
      <c r="F7" s="1"/>
      <c r="G7" s="1"/>
    </row>
    <row r="8" spans="1:7" x14ac:dyDescent="0.25">
      <c r="A8" s="1"/>
      <c r="B8" s="127" t="s">
        <v>155</v>
      </c>
      <c r="C8" s="128"/>
      <c r="D8" s="128"/>
      <c r="E8" s="128"/>
      <c r="F8" s="129"/>
      <c r="G8" s="1"/>
    </row>
    <row r="9" spans="1:7" x14ac:dyDescent="0.25">
      <c r="A9" s="1"/>
      <c r="B9" s="130" t="s">
        <v>156</v>
      </c>
      <c r="C9" s="131"/>
      <c r="D9" s="132"/>
      <c r="E9" s="9">
        <v>-6798363</v>
      </c>
      <c r="F9" s="14" t="s">
        <v>3</v>
      </c>
      <c r="G9" s="1"/>
    </row>
    <row r="10" spans="1:7" x14ac:dyDescent="0.25">
      <c r="A10" s="1"/>
      <c r="B10" s="145" t="s">
        <v>235</v>
      </c>
      <c r="C10" s="146"/>
      <c r="D10" s="147"/>
      <c r="E10" s="9">
        <v>0</v>
      </c>
      <c r="F10" s="54" t="s">
        <v>3</v>
      </c>
      <c r="G10" s="1"/>
    </row>
    <row r="11" spans="1:7" x14ac:dyDescent="0.25">
      <c r="A11" s="1"/>
      <c r="B11" s="130" t="s">
        <v>185</v>
      </c>
      <c r="C11" s="131"/>
      <c r="D11" s="132"/>
      <c r="E11" s="9">
        <v>-9587835.0141505823</v>
      </c>
      <c r="F11" s="14" t="s">
        <v>3</v>
      </c>
      <c r="G11" s="1"/>
    </row>
    <row r="12" spans="1:7" x14ac:dyDescent="0.25">
      <c r="A12" s="1"/>
      <c r="B12" s="71"/>
      <c r="C12" s="72"/>
      <c r="D12" s="72"/>
      <c r="E12" s="72"/>
      <c r="F12" s="19"/>
      <c r="G12" s="1"/>
    </row>
    <row r="13" spans="1:7" ht="64.900000000000006" customHeight="1" x14ac:dyDescent="0.25">
      <c r="A13" s="1"/>
      <c r="B13" s="116" t="s">
        <v>250</v>
      </c>
      <c r="C13" s="117"/>
      <c r="D13" s="117"/>
      <c r="E13" s="117"/>
      <c r="F13" s="118"/>
      <c r="G13" s="1"/>
    </row>
    <row r="14" spans="1:7" ht="27" customHeight="1" x14ac:dyDescent="0.25">
      <c r="A14" s="1"/>
      <c r="B14" s="1"/>
      <c r="C14" s="1"/>
      <c r="D14" s="1"/>
      <c r="E14" s="1"/>
      <c r="F14" s="1"/>
      <c r="G14" s="1"/>
    </row>
    <row r="15" spans="1:7" ht="28.5" customHeight="1" x14ac:dyDescent="0.25">
      <c r="A15" s="1"/>
      <c r="B15" s="127" t="s">
        <v>157</v>
      </c>
      <c r="C15" s="128"/>
      <c r="D15" s="128"/>
      <c r="E15" s="128"/>
      <c r="F15" s="129"/>
      <c r="G15" s="1"/>
    </row>
    <row r="16" spans="1:7" x14ac:dyDescent="0.25">
      <c r="A16" s="1"/>
      <c r="B16" s="130" t="s">
        <v>236</v>
      </c>
      <c r="C16" s="131"/>
      <c r="D16" s="132"/>
      <c r="E16" s="9">
        <v>0</v>
      </c>
      <c r="F16" s="14" t="s">
        <v>3</v>
      </c>
      <c r="G16" s="1"/>
    </row>
    <row r="17" spans="1:7" x14ac:dyDescent="0.25">
      <c r="A17" s="1"/>
      <c r="B17" s="130" t="s">
        <v>237</v>
      </c>
      <c r="C17" s="131"/>
      <c r="D17" s="132"/>
      <c r="E17" s="9">
        <v>0</v>
      </c>
      <c r="F17" s="14" t="s">
        <v>3</v>
      </c>
      <c r="G17" s="1"/>
    </row>
    <row r="18" spans="1:7" x14ac:dyDescent="0.25">
      <c r="A18" s="1"/>
      <c r="B18" s="71"/>
      <c r="C18" s="72"/>
      <c r="D18" s="72"/>
      <c r="E18" s="72"/>
      <c r="F18" s="19"/>
      <c r="G18" s="1"/>
    </row>
    <row r="19" spans="1:7" ht="31.5" customHeight="1" x14ac:dyDescent="0.25">
      <c r="A19" s="1"/>
      <c r="B19" s="116" t="s">
        <v>158</v>
      </c>
      <c r="C19" s="117"/>
      <c r="D19" s="117"/>
      <c r="E19" s="117"/>
      <c r="F19" s="118"/>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6" t="s">
        <v>238</v>
      </c>
      <c r="C22" s="77"/>
      <c r="D22" s="78"/>
      <c r="E22" s="9">
        <v>60224548.330052733</v>
      </c>
      <c r="F22" s="14" t="s">
        <v>3</v>
      </c>
      <c r="G22" s="1"/>
    </row>
    <row r="23" spans="1:7" x14ac:dyDescent="0.25">
      <c r="A23" s="1"/>
      <c r="B23" s="76" t="s">
        <v>187</v>
      </c>
      <c r="C23" s="77"/>
      <c r="D23" s="78"/>
      <c r="E23" s="9">
        <v>64827132</v>
      </c>
      <c r="F23" s="14" t="s">
        <v>3</v>
      </c>
      <c r="G23" s="1"/>
    </row>
    <row r="24" spans="1:7" x14ac:dyDescent="0.25">
      <c r="A24" s="1"/>
      <c r="B24" s="76" t="s">
        <v>31</v>
      </c>
      <c r="C24" s="77"/>
      <c r="D24" s="78"/>
      <c r="E24" s="9">
        <v>47000</v>
      </c>
      <c r="F24" s="14" t="s">
        <v>3</v>
      </c>
      <c r="G24" s="1"/>
    </row>
    <row r="25" spans="1:7" x14ac:dyDescent="0.25">
      <c r="A25" s="1"/>
      <c r="B25" s="51" t="s">
        <v>253</v>
      </c>
      <c r="C25" s="52"/>
      <c r="D25" s="53"/>
      <c r="E25" s="57">
        <f>E22-(E23-E24)</f>
        <v>-4555583.6699472666</v>
      </c>
      <c r="F25" s="17" t="s">
        <v>3</v>
      </c>
      <c r="G25" s="1"/>
    </row>
    <row r="26" spans="1:7" x14ac:dyDescent="0.25">
      <c r="A26" s="1"/>
      <c r="B26" s="71"/>
      <c r="C26" s="72"/>
      <c r="D26" s="72"/>
      <c r="E26" s="72"/>
      <c r="F26" s="19"/>
      <c r="G26" s="1"/>
    </row>
    <row r="27" spans="1:7" x14ac:dyDescent="0.25">
      <c r="A27" s="1"/>
      <c r="B27" s="1"/>
      <c r="C27" s="1"/>
      <c r="D27" s="1"/>
      <c r="E27" s="1"/>
      <c r="F27" s="1"/>
      <c r="G27" s="1"/>
    </row>
    <row r="28" spans="1:7" ht="28.5" customHeight="1" x14ac:dyDescent="0.25">
      <c r="A28" s="1"/>
      <c r="B28" s="127" t="s">
        <v>239</v>
      </c>
      <c r="C28" s="128"/>
      <c r="D28" s="128"/>
      <c r="E28" s="128"/>
      <c r="F28" s="129"/>
      <c r="G28" s="1"/>
    </row>
    <row r="29" spans="1:7" x14ac:dyDescent="0.25">
      <c r="A29" s="1"/>
      <c r="B29" s="148" t="s">
        <v>128</v>
      </c>
      <c r="C29" s="149"/>
      <c r="D29" s="150"/>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-4555583.6699472666</v>
      </c>
      <c r="F29" s="14" t="s">
        <v>3</v>
      </c>
      <c r="G29" s="1"/>
    </row>
    <row r="30" spans="1:7" x14ac:dyDescent="0.25">
      <c r="A30" s="1"/>
      <c r="B30" s="148" t="s">
        <v>93</v>
      </c>
      <c r="C30" s="149"/>
      <c r="D30" s="150"/>
      <c r="E30" s="9">
        <v>2</v>
      </c>
      <c r="F30" s="14" t="s">
        <v>18</v>
      </c>
      <c r="G30" s="1"/>
    </row>
    <row r="31" spans="1:7" x14ac:dyDescent="0.25">
      <c r="A31" s="1"/>
      <c r="B31" s="141" t="s">
        <v>127</v>
      </c>
      <c r="C31" s="141"/>
      <c r="D31" s="141"/>
      <c r="E31" s="10">
        <f>E29/E30</f>
        <v>-2277791.8349736333</v>
      </c>
      <c r="F31" s="17" t="s">
        <v>3</v>
      </c>
      <c r="G31" s="1"/>
    </row>
    <row r="32" spans="1:7" x14ac:dyDescent="0.25">
      <c r="A32" s="1"/>
      <c r="B32" s="142"/>
      <c r="C32" s="143"/>
      <c r="D32" s="143"/>
      <c r="E32" s="143"/>
      <c r="F32" s="144"/>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kLZDdSi05akm3T9XbcLX4wLzG9X7BuY0kZus2ACKRZ3SXmxHtk9E8OaEYffVwDLmGJX1et6hBvs2LKIx1SnlLA==" saltValue="o2FttR53EJUxfLIYky0HJw=="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140625" defaultRowHeight="15" x14ac:dyDescent="0.25"/>
  <cols>
    <col min="1" max="1" width="4.7109375" style="40" customWidth="1"/>
    <col min="2" max="2" width="22.5703125" style="40" customWidth="1"/>
    <col min="3" max="3" width="8.28515625" style="40" customWidth="1"/>
    <col min="4" max="6" width="10.7109375" style="40" customWidth="1"/>
    <col min="7" max="7" width="11.140625" style="40" customWidth="1"/>
    <col min="8" max="8" width="3.28515625" style="40" customWidth="1"/>
    <col min="9" max="9" width="4.85546875" style="40" customWidth="1"/>
    <col min="10" max="16384" width="9.140625"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4" t="s">
        <v>226</v>
      </c>
      <c r="C3" s="104"/>
      <c r="D3" s="104"/>
      <c r="E3" s="104"/>
      <c r="F3" s="104"/>
      <c r="G3" s="104"/>
      <c r="H3" s="104"/>
      <c r="I3" s="1"/>
    </row>
    <row r="4" spans="1:9" ht="15" customHeight="1" x14ac:dyDescent="0.25">
      <c r="A4" s="1"/>
      <c r="B4" s="104"/>
      <c r="C4" s="104"/>
      <c r="D4" s="104"/>
      <c r="E4" s="104"/>
      <c r="F4" s="104"/>
      <c r="G4" s="104"/>
      <c r="H4" s="10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227</v>
      </c>
      <c r="C8" s="128"/>
      <c r="D8" s="128"/>
      <c r="E8" s="128"/>
      <c r="F8" s="128"/>
      <c r="G8" s="128"/>
      <c r="H8" s="129"/>
      <c r="I8" s="1"/>
    </row>
    <row r="9" spans="1:9" ht="15" customHeight="1" x14ac:dyDescent="0.25">
      <c r="A9" s="1"/>
      <c r="B9" s="122" t="s">
        <v>228</v>
      </c>
      <c r="C9" s="123"/>
      <c r="D9" s="123"/>
      <c r="E9" s="123"/>
      <c r="F9" s="123"/>
      <c r="G9" s="123"/>
      <c r="H9" s="124"/>
      <c r="I9" s="1"/>
    </row>
    <row r="10" spans="1:9" x14ac:dyDescent="0.25">
      <c r="A10" s="1"/>
      <c r="B10" s="151" t="s">
        <v>242</v>
      </c>
      <c r="C10" s="152"/>
      <c r="D10" s="152"/>
      <c r="E10" s="152"/>
      <c r="F10" s="153"/>
      <c r="G10" s="56">
        <v>0</v>
      </c>
      <c r="H10" s="9" t="s">
        <v>3</v>
      </c>
      <c r="I10" s="1"/>
    </row>
    <row r="11" spans="1:9" x14ac:dyDescent="0.25">
      <c r="A11" s="1"/>
      <c r="B11" s="151" t="s">
        <v>243</v>
      </c>
      <c r="C11" s="152"/>
      <c r="D11" s="152"/>
      <c r="E11" s="152"/>
      <c r="F11" s="153"/>
      <c r="G11" s="56">
        <v>0</v>
      </c>
      <c r="H11" s="9" t="s">
        <v>3</v>
      </c>
      <c r="I11" s="1"/>
    </row>
    <row r="12" spans="1:9" x14ac:dyDescent="0.25">
      <c r="A12" s="1"/>
      <c r="B12" s="151" t="s">
        <v>244</v>
      </c>
      <c r="C12" s="152"/>
      <c r="D12" s="152"/>
      <c r="E12" s="152"/>
      <c r="F12" s="153"/>
      <c r="G12" s="9">
        <v>0</v>
      </c>
      <c r="H12" s="9" t="s">
        <v>3</v>
      </c>
      <c r="I12" s="1"/>
    </row>
    <row r="13" spans="1:9" x14ac:dyDescent="0.25">
      <c r="A13" s="1"/>
      <c r="B13" s="151" t="s">
        <v>245</v>
      </c>
      <c r="C13" s="152"/>
      <c r="D13" s="152"/>
      <c r="E13" s="152"/>
      <c r="F13" s="153"/>
      <c r="G13" s="9">
        <v>0</v>
      </c>
      <c r="H13" s="9" t="s">
        <v>3</v>
      </c>
      <c r="I13" s="1"/>
    </row>
    <row r="14" spans="1:9" x14ac:dyDescent="0.25">
      <c r="A14" s="1"/>
      <c r="B14" s="151" t="s">
        <v>246</v>
      </c>
      <c r="C14" s="152"/>
      <c r="D14" s="152"/>
      <c r="E14" s="152"/>
      <c r="F14" s="153"/>
      <c r="G14" s="9">
        <v>0</v>
      </c>
      <c r="H14" s="9" t="s">
        <v>3</v>
      </c>
      <c r="I14" s="1"/>
    </row>
    <row r="15" spans="1:9" x14ac:dyDescent="0.25">
      <c r="A15" s="1"/>
      <c r="B15" s="151" t="s">
        <v>247</v>
      </c>
      <c r="C15" s="152"/>
      <c r="D15" s="152"/>
      <c r="E15" s="152"/>
      <c r="F15" s="153"/>
      <c r="G15" s="9">
        <v>0</v>
      </c>
      <c r="H15" s="9" t="s">
        <v>3</v>
      </c>
      <c r="I15" s="1"/>
    </row>
    <row r="16" spans="1:9" x14ac:dyDescent="0.25">
      <c r="A16" s="1"/>
      <c r="B16" s="151" t="s">
        <v>248</v>
      </c>
      <c r="C16" s="152"/>
      <c r="D16" s="152"/>
      <c r="E16" s="152"/>
      <c r="F16" s="153"/>
      <c r="G16" s="9">
        <v>0</v>
      </c>
      <c r="H16" s="9" t="s">
        <v>3</v>
      </c>
      <c r="I16" s="1"/>
    </row>
    <row r="17" spans="1:9" x14ac:dyDescent="0.25">
      <c r="A17" s="1"/>
      <c r="B17" s="151" t="s">
        <v>249</v>
      </c>
      <c r="C17" s="152"/>
      <c r="D17" s="152"/>
      <c r="E17" s="152"/>
      <c r="F17" s="153"/>
      <c r="G17" s="9">
        <v>0</v>
      </c>
      <c r="H17" s="9" t="s">
        <v>3</v>
      </c>
      <c r="I17" s="1"/>
    </row>
    <row r="18" spans="1:9" x14ac:dyDescent="0.25">
      <c r="A18" s="1"/>
      <c r="B18" s="127" t="s">
        <v>229</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PhWRAU9fjLZFVxTGsNlizrGbLOiysDoM8e4xi4DZM5PintTMugxtgqlmAI+k9roje10nfw2+Psgw2FPh3RKu9g==" saltValue="AhA1nJA42+143LY0ua2fz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3"/>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3.85546875" style="2" customWidth="1"/>
    <col min="6" max="6" width="10" style="2" customWidth="1"/>
    <col min="7" max="7" width="2.7109375" style="2" customWidth="1"/>
    <col min="8" max="8" width="10" style="2" customWidth="1"/>
    <col min="9" max="9" width="2.7109375" style="2" customWidth="1"/>
    <col min="10" max="10" width="9" style="2" customWidth="1"/>
    <col min="11" max="11" width="2.5703125"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220</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192</v>
      </c>
      <c r="C8" s="128"/>
      <c r="D8" s="128"/>
      <c r="E8" s="128"/>
      <c r="F8" s="128"/>
      <c r="G8" s="128"/>
      <c r="H8" s="128"/>
      <c r="I8" s="128"/>
      <c r="J8" s="128"/>
      <c r="K8" s="129"/>
      <c r="L8" s="1"/>
    </row>
    <row r="9" spans="1:12" ht="39.75" customHeight="1" x14ac:dyDescent="0.25">
      <c r="A9" s="1"/>
      <c r="B9" s="18" t="s">
        <v>0</v>
      </c>
      <c r="C9" s="18" t="s">
        <v>1</v>
      </c>
      <c r="D9" s="154" t="s">
        <v>213</v>
      </c>
      <c r="E9" s="155"/>
      <c r="F9" s="154" t="s">
        <v>2</v>
      </c>
      <c r="G9" s="155"/>
      <c r="H9" s="154" t="s">
        <v>214</v>
      </c>
      <c r="I9" s="155"/>
      <c r="J9" s="154" t="s">
        <v>28</v>
      </c>
      <c r="K9" s="155"/>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71" t="s">
        <v>193</v>
      </c>
      <c r="C11" s="72"/>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55"/>
      <c r="L49" s="55"/>
    </row>
    <row r="50" spans="1:12" x14ac:dyDescent="0.25">
      <c r="A50" s="55"/>
      <c r="L50" s="55"/>
    </row>
    <row r="51" spans="1:12" x14ac:dyDescent="0.25">
      <c r="A51" s="55"/>
      <c r="L51" s="55"/>
    </row>
    <row r="52" spans="1:12" x14ac:dyDescent="0.25">
      <c r="A52" s="55"/>
      <c r="L52" s="55"/>
    </row>
    <row r="53" spans="1:12" x14ac:dyDescent="0.25">
      <c r="L53" s="55"/>
    </row>
  </sheetData>
  <sheetProtection algorithmName="SHA-512" hashValue="3NPArHNdZxfppAUztmiDPoQhIGXRWmVMM4BaVuOzfMLfIN98JWE7JnCF4poT0+7WNzvU0qIcNW1b4VlQye8Fzg==" saltValue="kKnObpxH/ULLMBr55FOfx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221</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75</v>
      </c>
      <c r="C8" s="72"/>
      <c r="D8" s="72"/>
      <c r="E8" s="72"/>
      <c r="F8" s="19"/>
      <c r="G8" s="1"/>
    </row>
    <row r="9" spans="1:7" ht="17.25" customHeight="1" x14ac:dyDescent="0.25">
      <c r="A9" s="1"/>
      <c r="B9" s="69" t="s">
        <v>15</v>
      </c>
      <c r="C9" s="69" t="s">
        <v>10</v>
      </c>
      <c r="D9" s="70"/>
      <c r="E9" s="69"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252</v>
      </c>
      <c r="C11" s="21">
        <v>31719</v>
      </c>
      <c r="D11" s="14" t="s">
        <v>3</v>
      </c>
      <c r="E11" s="9">
        <v>41982</v>
      </c>
      <c r="F11" s="14" t="s">
        <v>3</v>
      </c>
      <c r="G11" s="1"/>
    </row>
    <row r="12" spans="1:7" x14ac:dyDescent="0.25">
      <c r="A12" s="1"/>
      <c r="B12" s="26" t="s">
        <v>251</v>
      </c>
      <c r="C12" s="21">
        <v>0</v>
      </c>
      <c r="D12" s="14" t="s">
        <v>3</v>
      </c>
      <c r="E12" s="9">
        <v>196101</v>
      </c>
      <c r="F12" s="14" t="s">
        <v>3</v>
      </c>
      <c r="G12" s="1"/>
    </row>
    <row r="13" spans="1:7" x14ac:dyDescent="0.25">
      <c r="A13" s="1"/>
      <c r="B13" s="71" t="s">
        <v>148</v>
      </c>
      <c r="C13" s="12">
        <f>SUM(C10:C12)</f>
        <v>31719</v>
      </c>
      <c r="D13" s="13" t="s">
        <v>3</v>
      </c>
      <c r="E13" s="12">
        <f>SUM(E10:E12)</f>
        <v>238083</v>
      </c>
      <c r="F13" s="13" t="s">
        <v>3</v>
      </c>
      <c r="G13" s="1"/>
    </row>
    <row r="14" spans="1:7" x14ac:dyDescent="0.25">
      <c r="A14" s="1"/>
      <c r="B14" s="71" t="s">
        <v>188</v>
      </c>
      <c r="C14" s="12">
        <f>C13*(1+'Fane 13. Nøgletal'!C15)</f>
        <v>32848.196400000001</v>
      </c>
      <c r="D14" s="13" t="s">
        <v>3</v>
      </c>
      <c r="E14" s="12">
        <f>E13*(1+'Fane 13. Nøgletal'!C15)</f>
        <v>246558.75480000002</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au4JI+HsM2h1CEgj8xhcIp0oa+lbeJwv8fGSq5Qet4QoF21fRSADOKFWfuE8pvUFAnYVZ6K9vUNdZEL80YQ9Q==" saltValue="VTgR1aXwZ85Y6bmbzFZTP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222</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7" t="s">
        <v>88</v>
      </c>
      <c r="C9" s="128"/>
      <c r="D9" s="128"/>
      <c r="E9" s="128"/>
      <c r="F9" s="129"/>
      <c r="G9" s="1"/>
    </row>
    <row r="10" spans="1:7" ht="26.25" x14ac:dyDescent="0.25">
      <c r="A10" s="1"/>
      <c r="B10" s="69" t="s">
        <v>15</v>
      </c>
      <c r="C10" s="69" t="s">
        <v>10</v>
      </c>
      <c r="D10" s="70"/>
      <c r="E10" s="69" t="s">
        <v>29</v>
      </c>
      <c r="F10" s="66"/>
      <c r="G10" s="1"/>
    </row>
    <row r="11" spans="1:7" x14ac:dyDescent="0.25">
      <c r="A11" s="1"/>
      <c r="B11" s="21" t="s">
        <v>254</v>
      </c>
      <c r="C11" s="21">
        <v>0</v>
      </c>
      <c r="D11" s="14" t="s">
        <v>3</v>
      </c>
      <c r="E11" s="9">
        <v>0</v>
      </c>
      <c r="F11" s="14" t="s">
        <v>3</v>
      </c>
      <c r="G11" s="1"/>
    </row>
    <row r="12" spans="1:7" x14ac:dyDescent="0.25">
      <c r="A12" s="1"/>
      <c r="B12" s="71" t="s">
        <v>195</v>
      </c>
      <c r="C12" s="12">
        <f>SUM(C11:C11)</f>
        <v>0</v>
      </c>
      <c r="D12" s="13" t="s">
        <v>3</v>
      </c>
      <c r="E12" s="12">
        <f>SUM(E11:E11)</f>
        <v>0</v>
      </c>
      <c r="F12" s="13" t="s">
        <v>3</v>
      </c>
      <c r="G12" s="1"/>
    </row>
    <row r="13" spans="1:7" x14ac:dyDescent="0.25">
      <c r="A13" s="1"/>
      <c r="B13" s="71"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mP+FBXs7ZeyQzleK5w6VcdJj2xXkSBFVvr+zc7FAEV2Q60U5vtSZdMCwEkGdo6NCPVKcvLjFd6tsYi2xQIPe0A==" saltValue="9zSEJGCwR0D2LLuonK79b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223</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112</v>
      </c>
      <c r="C8" s="128"/>
      <c r="D8" s="128"/>
      <c r="E8" s="128"/>
      <c r="F8" s="129"/>
      <c r="G8" s="1"/>
    </row>
    <row r="9" spans="1:7" ht="15" customHeight="1" x14ac:dyDescent="0.25">
      <c r="A9" s="1"/>
      <c r="B9" s="65" t="s">
        <v>113</v>
      </c>
      <c r="C9" s="122" t="s">
        <v>10</v>
      </c>
      <c r="D9" s="124"/>
      <c r="E9" s="122" t="s">
        <v>29</v>
      </c>
      <c r="F9" s="124"/>
      <c r="G9" s="1"/>
    </row>
    <row r="10" spans="1:7" x14ac:dyDescent="0.25">
      <c r="A10" s="1"/>
      <c r="B10" s="22" t="s">
        <v>240</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44xYuh7p1guKuek6xDOKCynYCZMj+OF8h2xcLsqIxUJWykk3w4Iqsx2GoOINS/Hc/cZi6hUSBwVBN6liH9BP3g==" saltValue="AGyqwYu8W/OOtvRw5inPw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6.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224</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7" t="s">
        <v>85</v>
      </c>
      <c r="C10" s="128"/>
      <c r="D10" s="128"/>
      <c r="E10" s="128"/>
      <c r="F10" s="129"/>
      <c r="G10" s="1"/>
    </row>
    <row r="11" spans="1:7" ht="26.25" x14ac:dyDescent="0.25">
      <c r="A11" s="1"/>
      <c r="B11" s="65" t="s">
        <v>16</v>
      </c>
      <c r="C11" s="65" t="s">
        <v>10</v>
      </c>
      <c r="D11" s="66"/>
      <c r="E11" s="65" t="s">
        <v>29</v>
      </c>
      <c r="F11" s="66"/>
      <c r="G11" s="1"/>
    </row>
    <row r="12" spans="1:7" x14ac:dyDescent="0.25">
      <c r="A12" s="1"/>
      <c r="B12" s="22" t="s">
        <v>241</v>
      </c>
      <c r="C12" s="9">
        <v>0</v>
      </c>
      <c r="D12" s="14" t="s">
        <v>3</v>
      </c>
      <c r="E12" s="9">
        <v>0</v>
      </c>
      <c r="F12" s="14" t="s">
        <v>3</v>
      </c>
      <c r="G12" s="1"/>
    </row>
    <row r="13" spans="1:7" x14ac:dyDescent="0.25">
      <c r="A13" s="1"/>
      <c r="B13" s="71" t="s">
        <v>196</v>
      </c>
      <c r="C13" s="12">
        <f>SUM(C12:C12)</f>
        <v>0</v>
      </c>
      <c r="D13" s="13" t="s">
        <v>3</v>
      </c>
      <c r="E13" s="12">
        <f>SUM(E12:E12)</f>
        <v>0</v>
      </c>
      <c r="F13" s="13" t="s">
        <v>3</v>
      </c>
      <c r="G13" s="1"/>
    </row>
    <row r="14" spans="1:7" x14ac:dyDescent="0.25">
      <c r="A14" s="1"/>
      <c r="B14" s="71"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UtiehWlp2FWySOikHgGmiGRoYbAMHpHnLr0fUAgPZeX+BEVFn3jwTfYmB9XSHCcBk1HS3S9O9t8FiNMZK4bNXw==" saltValue="AqKVzw8iauwDWfl+yP5YN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9" customWidth="1"/>
    <col min="4" max="4" width="9" style="2" customWidth="1"/>
    <col min="5" max="16384" width="9.140625" style="2"/>
  </cols>
  <sheetData>
    <row r="1" spans="1:4" x14ac:dyDescent="0.25">
      <c r="A1" s="1"/>
      <c r="B1" s="1"/>
      <c r="C1" s="44"/>
      <c r="D1" s="1"/>
    </row>
    <row r="2" spans="1:4" x14ac:dyDescent="0.25">
      <c r="A2" s="1"/>
      <c r="B2" s="1"/>
      <c r="C2" s="44"/>
      <c r="D2" s="1"/>
    </row>
    <row r="3" spans="1:4" ht="15" customHeight="1" x14ac:dyDescent="0.25">
      <c r="A3" s="1"/>
      <c r="B3" s="112" t="s">
        <v>225</v>
      </c>
      <c r="C3" s="112"/>
      <c r="D3" s="1"/>
    </row>
    <row r="4" spans="1:4" ht="25.5" customHeight="1" x14ac:dyDescent="0.25">
      <c r="A4" s="1"/>
      <c r="B4" s="112"/>
      <c r="C4" s="112"/>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1"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7"/>
      <c r="C16" s="129"/>
      <c r="D16" s="1"/>
    </row>
    <row r="17" spans="1:4" x14ac:dyDescent="0.25">
      <c r="A17" s="1"/>
      <c r="B17" s="1"/>
      <c r="C17" s="44"/>
      <c r="D17" s="1"/>
    </row>
    <row r="18" spans="1:4" x14ac:dyDescent="0.25">
      <c r="A18" s="1"/>
      <c r="B18" s="1"/>
      <c r="C18" s="44"/>
      <c r="D18" s="1"/>
    </row>
    <row r="19" spans="1:4" x14ac:dyDescent="0.25">
      <c r="A19" s="1"/>
      <c r="B19" s="71"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71"/>
      <c r="C27" s="45"/>
      <c r="D27" s="1"/>
    </row>
    <row r="28" spans="1:4" x14ac:dyDescent="0.25">
      <c r="A28" s="1"/>
      <c r="B28" s="1"/>
      <c r="C28" s="44"/>
      <c r="D28" s="1"/>
    </row>
    <row r="29" spans="1:4" x14ac:dyDescent="0.25">
      <c r="A29" s="1"/>
      <c r="B29" s="1"/>
      <c r="C29" s="44"/>
      <c r="D29" s="1"/>
    </row>
    <row r="30" spans="1:4" x14ac:dyDescent="0.25">
      <c r="A30" s="1"/>
      <c r="B30" s="71" t="s">
        <v>90</v>
      </c>
      <c r="C30" s="45"/>
      <c r="D30" s="1"/>
    </row>
    <row r="31" spans="1:4" x14ac:dyDescent="0.25">
      <c r="A31" s="1"/>
      <c r="B31" s="79" t="s">
        <v>107</v>
      </c>
      <c r="C31" s="46">
        <v>0.02</v>
      </c>
      <c r="D31" s="1"/>
    </row>
    <row r="32" spans="1:4" x14ac:dyDescent="0.25">
      <c r="A32" s="1"/>
      <c r="B32" s="71"/>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5"/>
      <c r="D50" s="55"/>
    </row>
    <row r="51" spans="1:4" x14ac:dyDescent="0.25">
      <c r="A51" s="55"/>
      <c r="B51" s="55"/>
      <c r="C51" s="85"/>
      <c r="D51" s="55"/>
    </row>
    <row r="52" spans="1:4" x14ac:dyDescent="0.25">
      <c r="A52" s="55"/>
      <c r="B52" s="55"/>
      <c r="C52" s="85"/>
      <c r="D52" s="55"/>
    </row>
    <row r="53" spans="1:4" x14ac:dyDescent="0.25">
      <c r="A53" s="55"/>
      <c r="B53" s="55"/>
      <c r="C53" s="85"/>
      <c r="D53" s="55"/>
    </row>
  </sheetData>
  <sheetProtection algorithmName="SHA-512" hashValue="cwPrakfviY75UgwTA6uGrWVZ9s+xnpjUkziBeLPjw5BYhxB9MWVqNYtt6eA9AfRPy+lSoS2cKx17zGd5qUC+wg==" saltValue="uzjfMqQlYuUC92StTHJYTw=="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4" t="s">
        <v>165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71" t="s">
        <v>12</v>
      </c>
      <c r="C7" s="72"/>
      <c r="D7" s="19"/>
      <c r="E7" s="1"/>
    </row>
    <row r="8" spans="1:5" x14ac:dyDescent="0.25">
      <c r="A8" s="1"/>
      <c r="B8" s="68" t="s">
        <v>116</v>
      </c>
      <c r="C8" s="7">
        <f>'Fane 3. Omkostninger i ØR2022'!E20</f>
        <v>48563139.757212348</v>
      </c>
      <c r="D8" s="8" t="s">
        <v>3</v>
      </c>
      <c r="E8" s="1"/>
    </row>
    <row r="9" spans="1:5" ht="17.100000000000001" customHeight="1" x14ac:dyDescent="0.25">
      <c r="A9" s="1"/>
      <c r="B9" s="23" t="s">
        <v>35</v>
      </c>
      <c r="C9" s="7">
        <f>'Fane 10.1. Varige tillæg'!C14</f>
        <v>32848.196400000001</v>
      </c>
      <c r="D9" s="8" t="s">
        <v>3</v>
      </c>
      <c r="E9" s="1"/>
    </row>
    <row r="10" spans="1:5" ht="17.100000000000001" customHeight="1" x14ac:dyDescent="0.25">
      <c r="A10" s="1"/>
      <c r="B10" s="23" t="s">
        <v>36</v>
      </c>
      <c r="C10" s="9">
        <f>'Fane 10.1. Varige tillæg'!E14</f>
        <v>246558.75480000002</v>
      </c>
      <c r="D10" s="8" t="s">
        <v>3</v>
      </c>
      <c r="E10" s="1"/>
    </row>
    <row r="11" spans="1:5" ht="17.100000000000001" customHeight="1" x14ac:dyDescent="0.25">
      <c r="A11" s="1"/>
      <c r="B11" s="23" t="s">
        <v>26</v>
      </c>
      <c r="C11" s="9">
        <f>-'Fane 12. Bortfald'!C14</f>
        <v>0</v>
      </c>
      <c r="D11" s="8" t="s">
        <v>3</v>
      </c>
      <c r="E11" s="1"/>
    </row>
    <row r="12" spans="1:5" ht="17.100000000000001" customHeight="1" x14ac:dyDescent="0.25">
      <c r="A12" s="1"/>
      <c r="B12" s="23" t="s">
        <v>25</v>
      </c>
      <c r="C12" s="9">
        <f>-'Fane 12. Bortfald'!E14</f>
        <v>0</v>
      </c>
      <c r="D12" s="8" t="s">
        <v>3</v>
      </c>
      <c r="E12" s="1"/>
    </row>
    <row r="13" spans="1:5" ht="17.100000000000001" customHeight="1" x14ac:dyDescent="0.25">
      <c r="A13" s="1"/>
      <c r="B13" s="23" t="s">
        <v>114</v>
      </c>
      <c r="C13" s="9">
        <f>'Fane 11. Tilknyttet virksomhed'!C12</f>
        <v>0</v>
      </c>
      <c r="D13" s="8" t="s">
        <v>3</v>
      </c>
      <c r="E13" s="1"/>
    </row>
    <row r="14" spans="1:5" ht="17.100000000000001" customHeight="1" x14ac:dyDescent="0.25">
      <c r="A14" s="1"/>
      <c r="B14" s="23" t="s">
        <v>115</v>
      </c>
      <c r="C14" s="9">
        <f>'Fane 11. Tilknyttet virksomhed'!E12</f>
        <v>0</v>
      </c>
      <c r="D14" s="8" t="s">
        <v>3</v>
      </c>
      <c r="E14" s="1"/>
    </row>
    <row r="15" spans="1:5" ht="17.100000000000001" customHeight="1" x14ac:dyDescent="0.25">
      <c r="A15" s="1"/>
      <c r="B15" s="23" t="s">
        <v>17</v>
      </c>
      <c r="C15" s="9">
        <f>SUM(C8:C14)*'Fane 13. Nøgletal'!C15</f>
        <v>1738794.6628194796</v>
      </c>
      <c r="D15" s="8" t="s">
        <v>3</v>
      </c>
      <c r="E15" s="1"/>
    </row>
    <row r="16" spans="1:5" ht="17.100000000000001" customHeight="1" x14ac:dyDescent="0.25">
      <c r="A16" s="1"/>
      <c r="B16" s="23" t="s">
        <v>9</v>
      </c>
      <c r="C16" s="9">
        <f>-SUM(C8,C9:C15)*'Fane 5. Individuelt eff. krav'!G9</f>
        <v>-1011626.8274246367</v>
      </c>
      <c r="D16" s="8" t="s">
        <v>3</v>
      </c>
      <c r="E16" s="1"/>
    </row>
    <row r="17" spans="1:5" ht="17.100000000000001" customHeight="1" x14ac:dyDescent="0.25">
      <c r="A17" s="1"/>
      <c r="B17" s="23" t="s">
        <v>23</v>
      </c>
      <c r="C17" s="9">
        <f>-'Fane 4.1. Gen. krav - drift'!G43</f>
        <v>-520387.96239075175</v>
      </c>
      <c r="D17" s="8" t="s">
        <v>3</v>
      </c>
      <c r="E17" s="1"/>
    </row>
    <row r="18" spans="1:5" ht="17.100000000000001" customHeight="1" x14ac:dyDescent="0.25">
      <c r="A18" s="1"/>
      <c r="B18" s="23" t="s">
        <v>24</v>
      </c>
      <c r="C18" s="9">
        <f>-'Fane 4.2. Gen. krav - anlæg'!G43</f>
        <v>0</v>
      </c>
      <c r="D18" s="8" t="s">
        <v>3</v>
      </c>
      <c r="E18" s="1"/>
    </row>
    <row r="19" spans="1:5" ht="17.100000000000001" customHeight="1" x14ac:dyDescent="0.25">
      <c r="A19" s="1"/>
      <c r="B19" s="51" t="s">
        <v>19</v>
      </c>
      <c r="C19" s="10">
        <f>SUM(C8,C9:C18)</f>
        <v>49049326.581416443</v>
      </c>
      <c r="D19" s="11" t="s">
        <v>3</v>
      </c>
      <c r="E19" s="1"/>
    </row>
    <row r="20" spans="1:5" ht="15" customHeight="1" x14ac:dyDescent="0.25">
      <c r="A20" s="1"/>
      <c r="B20" s="71" t="s">
        <v>11</v>
      </c>
      <c r="C20" s="72"/>
      <c r="D20" s="19"/>
      <c r="E20" s="1"/>
    </row>
    <row r="21" spans="1:5" ht="15" customHeight="1" x14ac:dyDescent="0.25">
      <c r="A21" s="1"/>
      <c r="B21" s="65" t="s">
        <v>11</v>
      </c>
      <c r="C21" s="10">
        <f>'Fane 6. Ikke-påvirkelige omk.'!C15</f>
        <v>20351032.304156642</v>
      </c>
      <c r="D21" s="11" t="s">
        <v>3</v>
      </c>
      <c r="E21" s="1"/>
    </row>
    <row r="22" spans="1:5" ht="15" customHeight="1" x14ac:dyDescent="0.25">
      <c r="A22" s="1"/>
      <c r="B22" s="71" t="s">
        <v>80</v>
      </c>
      <c r="C22" s="72"/>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2"/>
      <c r="D28" s="19"/>
      <c r="E28" s="1"/>
    </row>
    <row r="29" spans="1:5" x14ac:dyDescent="0.25">
      <c r="A29" s="1"/>
      <c r="B29" s="80" t="s">
        <v>129</v>
      </c>
      <c r="C29" s="10">
        <f>'Fane 7. Kontrol af ØR2021'!E31</f>
        <v>-2277791.8349736333</v>
      </c>
      <c r="D29" s="11" t="s">
        <v>3</v>
      </c>
      <c r="E29" s="1"/>
    </row>
    <row r="30" spans="1:5" x14ac:dyDescent="0.25">
      <c r="A30" s="1"/>
      <c r="B30" s="25" t="s">
        <v>153</v>
      </c>
      <c r="C30" s="72"/>
      <c r="D30" s="19"/>
      <c r="E30" s="1"/>
    </row>
    <row r="31" spans="1:5" x14ac:dyDescent="0.25">
      <c r="A31" s="1"/>
      <c r="B31" s="80" t="s">
        <v>154</v>
      </c>
      <c r="C31" s="10">
        <f>'Fane 8. Skattesagen'!G12</f>
        <v>0</v>
      </c>
      <c r="D31" s="11" t="s">
        <v>3</v>
      </c>
      <c r="E31" s="1"/>
    </row>
    <row r="32" spans="1:5" x14ac:dyDescent="0.25">
      <c r="A32" s="1"/>
      <c r="B32" s="71" t="s">
        <v>84</v>
      </c>
      <c r="C32" s="36">
        <f>SUM(C19,C21,C27,C29,C31)</f>
        <v>67122567.050599456</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gv81JyUc/UF06ekKuuJNHD6mU/YtEwKwq61AE9HQJ7tTSAeEzC/Zn1g1UxEgcm0lDGAbVZJzCsWnzRJ9G3BOyA==" saltValue="uUuqlbZCVOPXgJB21Z0Jg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4" t="s">
        <v>166</v>
      </c>
      <c r="C3" s="104"/>
      <c r="D3" s="104"/>
      <c r="E3" s="1"/>
    </row>
    <row r="4" spans="1:5" ht="15" customHeight="1" x14ac:dyDescent="0.25">
      <c r="A4" s="1"/>
      <c r="B4" s="104"/>
      <c r="C4" s="104"/>
      <c r="D4" s="104"/>
      <c r="E4" s="1"/>
    </row>
    <row r="5" spans="1:5" x14ac:dyDescent="0.25">
      <c r="A5" s="1"/>
      <c r="B5" s="105"/>
      <c r="C5" s="105"/>
      <c r="D5" s="105"/>
      <c r="E5" s="1"/>
    </row>
    <row r="6" spans="1:5" x14ac:dyDescent="0.25">
      <c r="A6" s="1"/>
      <c r="B6" s="1"/>
      <c r="C6" s="1"/>
      <c r="D6" s="1"/>
      <c r="E6" s="1"/>
    </row>
    <row r="7" spans="1:5" x14ac:dyDescent="0.25">
      <c r="A7" s="1"/>
      <c r="B7" s="71" t="s">
        <v>12</v>
      </c>
      <c r="C7" s="72"/>
      <c r="D7" s="19"/>
      <c r="E7" s="1"/>
    </row>
    <row r="8" spans="1:5" ht="15" customHeight="1" x14ac:dyDescent="0.25">
      <c r="A8" s="1"/>
      <c r="B8" s="68" t="s">
        <v>117</v>
      </c>
      <c r="C8" s="7">
        <f>'Fane 2.1. Økonomisk ramme 2023'!C19</f>
        <v>49049326.581416443</v>
      </c>
      <c r="D8" s="8" t="s">
        <v>3</v>
      </c>
      <c r="E8" s="1"/>
    </row>
    <row r="9" spans="1:5" ht="15" customHeight="1" x14ac:dyDescent="0.25">
      <c r="A9" s="1"/>
      <c r="B9" s="64" t="s">
        <v>17</v>
      </c>
      <c r="C9" s="9">
        <f>SUM(C8:C8)*'Fane 13. Nøgletal'!C15</f>
        <v>1746156.0262984254</v>
      </c>
      <c r="D9" s="8" t="s">
        <v>3</v>
      </c>
      <c r="E9" s="1"/>
    </row>
    <row r="10" spans="1:5" ht="15" customHeight="1" x14ac:dyDescent="0.25">
      <c r="A10" s="1"/>
      <c r="B10" s="64" t="s">
        <v>9</v>
      </c>
      <c r="C10" s="9">
        <f>-SUM(C8:C9)*'Fane 5. Individuelt eff. krav'!G9</f>
        <v>-1015909.6521542975</v>
      </c>
      <c r="D10" s="8" t="s">
        <v>3</v>
      </c>
      <c r="E10" s="1"/>
    </row>
    <row r="11" spans="1:5" ht="15" customHeight="1" x14ac:dyDescent="0.25">
      <c r="A11" s="1"/>
      <c r="B11" s="64" t="s">
        <v>23</v>
      </c>
      <c r="C11" s="9">
        <f>-'Fane 4.1. Gen. krav - drift'!G48</f>
        <v>-528135.49837482534</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49251437.457185745</v>
      </c>
      <c r="D13" s="11" t="s">
        <v>3</v>
      </c>
      <c r="E13" s="1"/>
    </row>
    <row r="14" spans="1:5" x14ac:dyDescent="0.25">
      <c r="A14" s="1"/>
      <c r="B14" s="71" t="s">
        <v>11</v>
      </c>
      <c r="C14" s="72"/>
      <c r="D14" s="19"/>
      <c r="E14" s="1"/>
    </row>
    <row r="15" spans="1:5" ht="15" customHeight="1" x14ac:dyDescent="0.25">
      <c r="A15" s="1"/>
      <c r="B15" s="65" t="s">
        <v>11</v>
      </c>
      <c r="C15" s="10">
        <f>'Fane 6. Ikke-påvirkelige omk.'!C15*(1+'Fane 13. Nøgletal'!C15)</f>
        <v>21075529.054184619</v>
      </c>
      <c r="D15" s="11" t="s">
        <v>3</v>
      </c>
      <c r="E15" s="1"/>
    </row>
    <row r="16" spans="1:5" x14ac:dyDescent="0.25">
      <c r="A16" s="1"/>
      <c r="B16" s="25" t="s">
        <v>128</v>
      </c>
      <c r="C16" s="72"/>
      <c r="D16" s="19"/>
      <c r="E16" s="1"/>
    </row>
    <row r="17" spans="1:5" ht="15" customHeight="1" x14ac:dyDescent="0.25">
      <c r="A17" s="1"/>
      <c r="B17" s="80" t="s">
        <v>129</v>
      </c>
      <c r="C17" s="10">
        <f>'Fane 7. Kontrol af ØR2021'!E31</f>
        <v>-2277791.8349736333</v>
      </c>
      <c r="D17" s="11" t="s">
        <v>3</v>
      </c>
      <c r="E17" s="1"/>
    </row>
    <row r="18" spans="1:5" x14ac:dyDescent="0.25">
      <c r="A18" s="1"/>
      <c r="B18" s="25" t="s">
        <v>153</v>
      </c>
      <c r="C18" s="72"/>
      <c r="D18" s="19"/>
      <c r="E18" s="1"/>
    </row>
    <row r="19" spans="1:5" x14ac:dyDescent="0.25">
      <c r="A19" s="1"/>
      <c r="B19" s="80" t="s">
        <v>154</v>
      </c>
      <c r="C19" s="10">
        <f>'Fane 8. Skattesagen'!G13</f>
        <v>0</v>
      </c>
      <c r="D19" s="11" t="s">
        <v>3</v>
      </c>
      <c r="E19" s="1"/>
    </row>
    <row r="20" spans="1:5" x14ac:dyDescent="0.25">
      <c r="A20" s="1"/>
      <c r="B20" s="71" t="s">
        <v>138</v>
      </c>
      <c r="C20" s="12">
        <f>SUM(C13,C15,C17,C19)</f>
        <v>68049174.676396728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ZJsxHhX/ybVnqZbA4i+8suZLQbM2QYE/n5oRr6n5T1J5KlH9dSockVKeREg5Pf3XDhyn6xolifY2ISZwjp2KmA==" saltValue="Uur5tq/dc9BFGKx/ojSCj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4" t="s">
        <v>167</v>
      </c>
      <c r="C3" s="104"/>
      <c r="D3" s="104"/>
      <c r="E3" s="1"/>
    </row>
    <row r="4" spans="1:5" ht="15" customHeight="1" x14ac:dyDescent="0.25">
      <c r="A4" s="1"/>
      <c r="B4" s="104"/>
      <c r="C4" s="104"/>
      <c r="D4" s="104"/>
      <c r="E4" s="1"/>
    </row>
    <row r="5" spans="1:5" x14ac:dyDescent="0.25">
      <c r="A5" s="1"/>
      <c r="B5" s="105" t="s">
        <v>20</v>
      </c>
      <c r="C5" s="105"/>
      <c r="D5" s="105"/>
      <c r="E5" s="1"/>
    </row>
    <row r="6" spans="1:5" x14ac:dyDescent="0.25">
      <c r="A6" s="1"/>
      <c r="B6" s="1"/>
      <c r="C6" s="1"/>
      <c r="D6" s="1"/>
      <c r="E6" s="1"/>
    </row>
    <row r="7" spans="1:5" x14ac:dyDescent="0.25">
      <c r="A7" s="1"/>
      <c r="B7" s="71" t="s">
        <v>12</v>
      </c>
      <c r="C7" s="72"/>
      <c r="D7" s="19"/>
      <c r="E7" s="1"/>
    </row>
    <row r="8" spans="1:5" ht="15" customHeight="1" x14ac:dyDescent="0.25">
      <c r="A8" s="1"/>
      <c r="B8" s="68" t="s">
        <v>139</v>
      </c>
      <c r="C8" s="7">
        <f>'Fane 2.2. Økonomisk ramme 2024'!C13</f>
        <v>49251437.457185745</v>
      </c>
      <c r="D8" s="8" t="s">
        <v>3</v>
      </c>
      <c r="E8" s="1"/>
    </row>
    <row r="9" spans="1:5" ht="15" customHeight="1" x14ac:dyDescent="0.25">
      <c r="A9" s="1"/>
      <c r="B9" s="64" t="s">
        <v>17</v>
      </c>
      <c r="C9" s="9">
        <f>SUM(C8:C8)*'Fane 13. Nøgletal'!C15</f>
        <v>1753351.1734758124</v>
      </c>
      <c r="D9" s="8" t="s">
        <v>3</v>
      </c>
      <c r="E9" s="1"/>
    </row>
    <row r="10" spans="1:5" ht="15" customHeight="1" x14ac:dyDescent="0.25">
      <c r="A10" s="1"/>
      <c r="B10" s="64" t="s">
        <v>9</v>
      </c>
      <c r="C10" s="9">
        <f>-SUM(C8:C9)*'Fane 5. Individuelt eff. krav'!G9</f>
        <v>-1020095.7726132311</v>
      </c>
      <c r="D10" s="8" t="s">
        <v>3</v>
      </c>
      <c r="E10" s="1"/>
    </row>
    <row r="11" spans="1:5" ht="15" customHeight="1" x14ac:dyDescent="0.25">
      <c r="A11" s="1"/>
      <c r="B11" s="64" t="s">
        <v>23</v>
      </c>
      <c r="C11" s="9">
        <f>-'Fane 4.1. Gen. krav - drift'!G53</f>
        <v>-535998.37967462977</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49448694.478373691</v>
      </c>
      <c r="D13" s="11" t="s">
        <v>3</v>
      </c>
      <c r="E13" s="1"/>
    </row>
    <row r="14" spans="1:5" x14ac:dyDescent="0.25">
      <c r="A14" s="1"/>
      <c r="B14" s="71" t="s">
        <v>11</v>
      </c>
      <c r="C14" s="72"/>
      <c r="D14" s="19"/>
      <c r="E14" s="1"/>
    </row>
    <row r="15" spans="1:5" ht="15" customHeight="1" x14ac:dyDescent="0.25">
      <c r="A15" s="1"/>
      <c r="B15" s="65" t="s">
        <v>11</v>
      </c>
      <c r="C15" s="10">
        <f>'Fane 6. Ikke-påvirkelige omk.'!C15*(1+'Fane 13. Nøgletal'!C15)^2</f>
        <v>21825817.888513595</v>
      </c>
      <c r="D15" s="11" t="s">
        <v>3</v>
      </c>
      <c r="E15" s="1"/>
    </row>
    <row r="16" spans="1:5" x14ac:dyDescent="0.25">
      <c r="A16" s="1"/>
      <c r="B16" s="71" t="s">
        <v>128</v>
      </c>
      <c r="C16" s="72"/>
      <c r="D16" s="19"/>
      <c r="E16" s="1"/>
    </row>
    <row r="17" spans="1:5" x14ac:dyDescent="0.25">
      <c r="A17" s="1"/>
      <c r="B17" s="65" t="s">
        <v>129</v>
      </c>
      <c r="C17" s="10">
        <v>0</v>
      </c>
      <c r="D17" s="11" t="s">
        <v>3</v>
      </c>
      <c r="E17" s="1"/>
    </row>
    <row r="18" spans="1:5" ht="15" customHeight="1" x14ac:dyDescent="0.25">
      <c r="A18" s="1"/>
      <c r="B18" s="25" t="s">
        <v>153</v>
      </c>
      <c r="C18" s="72"/>
      <c r="D18" s="19"/>
      <c r="E18" s="1"/>
    </row>
    <row r="19" spans="1:5" ht="15" customHeight="1" x14ac:dyDescent="0.25">
      <c r="A19" s="1"/>
      <c r="B19" s="80" t="s">
        <v>154</v>
      </c>
      <c r="C19" s="10">
        <f>'Fane 8. Skattesagen'!G14</f>
        <v>0</v>
      </c>
      <c r="D19" s="11" t="s">
        <v>3</v>
      </c>
      <c r="E19" s="1"/>
    </row>
    <row r="20" spans="1:5" x14ac:dyDescent="0.25">
      <c r="A20" s="1"/>
      <c r="B20" s="71" t="s">
        <v>140</v>
      </c>
      <c r="C20" s="12">
        <f>SUM(C13,C15,C17,C19)</f>
        <v>71274512.366887286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319+hShb1GEParqGNaI7J/ebnogfAEXRP6znGvFtPMMS9hMJoKOOXaMcOiby/DsjBELPGBBe4miklm1uEj9r9A==" saltValue="f3d6kSLv/p3OnlACX+22J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4" t="s">
        <v>168</v>
      </c>
      <c r="C3" s="104"/>
      <c r="D3" s="104"/>
      <c r="E3" s="1"/>
    </row>
    <row r="4" spans="1:5" ht="15" customHeight="1" x14ac:dyDescent="0.25">
      <c r="A4" s="1"/>
      <c r="B4" s="104"/>
      <c r="C4" s="104"/>
      <c r="D4" s="104"/>
      <c r="E4" s="1"/>
    </row>
    <row r="5" spans="1:5" x14ac:dyDescent="0.25">
      <c r="A5" s="1"/>
      <c r="B5" s="105" t="s">
        <v>20</v>
      </c>
      <c r="C5" s="105"/>
      <c r="D5" s="105"/>
      <c r="E5" s="1"/>
    </row>
    <row r="6" spans="1:5" x14ac:dyDescent="0.25">
      <c r="A6" s="1"/>
      <c r="B6" s="1"/>
      <c r="C6" s="1"/>
      <c r="D6" s="1"/>
      <c r="E6" s="1"/>
    </row>
    <row r="7" spans="1:5" x14ac:dyDescent="0.25">
      <c r="A7" s="1"/>
      <c r="B7" s="71" t="s">
        <v>12</v>
      </c>
      <c r="C7" s="72"/>
      <c r="D7" s="19"/>
      <c r="E7" s="1"/>
    </row>
    <row r="8" spans="1:5" ht="15" customHeight="1" x14ac:dyDescent="0.25">
      <c r="A8" s="1"/>
      <c r="B8" s="68" t="s">
        <v>169</v>
      </c>
      <c r="C8" s="7">
        <f>'Fane 2.3. Økonomisk ramme 2025'!C13</f>
        <v>49448694.478373691</v>
      </c>
      <c r="D8" s="8" t="s">
        <v>3</v>
      </c>
      <c r="E8" s="1"/>
    </row>
    <row r="9" spans="1:5" ht="15" customHeight="1" x14ac:dyDescent="0.25">
      <c r="A9" s="1"/>
      <c r="B9" s="64" t="s">
        <v>17</v>
      </c>
      <c r="C9" s="9">
        <f>SUM(C8:C8)*'Fane 13. Nøgletal'!C15</f>
        <v>1760373.5234301034</v>
      </c>
      <c r="D9" s="8" t="s">
        <v>3</v>
      </c>
      <c r="E9" s="1"/>
    </row>
    <row r="10" spans="1:5" ht="15" customHeight="1" x14ac:dyDescent="0.25">
      <c r="A10" s="1"/>
      <c r="B10" s="64" t="s">
        <v>9</v>
      </c>
      <c r="C10" s="9">
        <f>-SUM(C8:C9)*'Fane 5. Individuelt eff. krav'!G9</f>
        <v>-1024181.3600360759</v>
      </c>
      <c r="D10" s="8" t="s">
        <v>3</v>
      </c>
      <c r="E10" s="1"/>
    </row>
    <row r="11" spans="1:5" ht="15" customHeight="1" x14ac:dyDescent="0.25">
      <c r="A11" s="1"/>
      <c r="B11" s="64" t="s">
        <v>23</v>
      </c>
      <c r="C11" s="9">
        <f>-'Fane 4.1. Gen. krav - drift'!G58</f>
        <v>-543978.32355122571</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49640908.318216495</v>
      </c>
      <c r="D13" s="11" t="s">
        <v>3</v>
      </c>
      <c r="E13" s="1"/>
    </row>
    <row r="14" spans="1:5" x14ac:dyDescent="0.25">
      <c r="A14" s="1"/>
      <c r="B14" s="71" t="s">
        <v>11</v>
      </c>
      <c r="C14" s="72"/>
      <c r="D14" s="19"/>
      <c r="E14" s="1"/>
    </row>
    <row r="15" spans="1:5" ht="15" customHeight="1" x14ac:dyDescent="0.25">
      <c r="A15" s="1"/>
      <c r="B15" s="65" t="s">
        <v>11</v>
      </c>
      <c r="C15" s="10">
        <f>'Fane 6. Ikke-påvirkelige omk.'!C15*(1+'Fane 13. Nøgletal'!C15)^3</f>
        <v>22602817.005344678</v>
      </c>
      <c r="D15" s="11" t="s">
        <v>3</v>
      </c>
      <c r="E15" s="1"/>
    </row>
    <row r="16" spans="1:5" x14ac:dyDescent="0.25">
      <c r="A16" s="1"/>
      <c r="B16" s="71" t="s">
        <v>128</v>
      </c>
      <c r="C16" s="72"/>
      <c r="D16" s="19"/>
      <c r="E16" s="1"/>
    </row>
    <row r="17" spans="1:5" x14ac:dyDescent="0.25">
      <c r="A17" s="1"/>
      <c r="B17" s="65" t="s">
        <v>129</v>
      </c>
      <c r="C17" s="10">
        <v>0</v>
      </c>
      <c r="D17" s="11" t="s">
        <v>3</v>
      </c>
      <c r="E17" s="1"/>
    </row>
    <row r="18" spans="1:5" x14ac:dyDescent="0.25">
      <c r="A18" s="1"/>
      <c r="B18" s="25" t="s">
        <v>153</v>
      </c>
      <c r="C18" s="72"/>
      <c r="D18" s="19"/>
      <c r="E18" s="1"/>
    </row>
    <row r="19" spans="1:5" x14ac:dyDescent="0.25">
      <c r="A19" s="1"/>
      <c r="B19" s="80" t="s">
        <v>154</v>
      </c>
      <c r="C19" s="10">
        <f>'Fane 8. Skattesagen'!G15</f>
        <v>0</v>
      </c>
      <c r="D19" s="11" t="s">
        <v>3</v>
      </c>
      <c r="E19" s="1"/>
    </row>
    <row r="20" spans="1:5" x14ac:dyDescent="0.25">
      <c r="A20" s="1"/>
      <c r="B20" s="71" t="s">
        <v>170</v>
      </c>
      <c r="C20" s="12">
        <f>SUM(C13,C15,C17,C19)</f>
        <v>72243725.323561177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J+5XlGKZQHsRc/eGBh5idu18+ZbXrez95CAukoS86uA1yEAWujPYPKgqlVFG6YmVALj0XoJdFHn+iEdqSc+xGg==" saltValue="75LY0TBCTJUEeeGD3r9LV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2" width="51.7109375" style="2" customWidth="1"/>
    <col min="3" max="3" width="9.140625" style="2" hidden="1" customWidth="1"/>
    <col min="4" max="4" width="39.42578125" style="2" hidden="1" customWidth="1"/>
    <col min="5" max="5" width="11.140625" style="2" customWidth="1"/>
    <col min="6" max="6" width="4.5703125" style="2" customWidth="1"/>
    <col min="7" max="7" width="8.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171</v>
      </c>
      <c r="C3" s="112"/>
      <c r="D3" s="112"/>
      <c r="E3" s="112"/>
      <c r="F3" s="112"/>
      <c r="G3" s="1"/>
    </row>
    <row r="4" spans="1:7" ht="29.2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172</v>
      </c>
      <c r="C8" s="72"/>
      <c r="D8" s="72"/>
      <c r="E8" s="72"/>
      <c r="F8" s="19"/>
      <c r="G8" s="1"/>
    </row>
    <row r="9" spans="1:7" x14ac:dyDescent="0.25">
      <c r="A9" s="1"/>
      <c r="B9" s="113" t="s">
        <v>22</v>
      </c>
      <c r="C9" s="114"/>
      <c r="D9" s="115"/>
      <c r="E9" s="7">
        <v>42714176.720794648</v>
      </c>
      <c r="F9" s="8" t="s">
        <v>3</v>
      </c>
      <c r="G9" s="1"/>
    </row>
    <row r="10" spans="1:7" ht="15" customHeight="1" x14ac:dyDescent="0.25">
      <c r="A10" s="1"/>
      <c r="B10" s="106" t="s">
        <v>35</v>
      </c>
      <c r="C10" s="107"/>
      <c r="D10" s="108"/>
      <c r="E10" s="9">
        <v>3607335.0510000004</v>
      </c>
      <c r="F10" s="8" t="s">
        <v>3</v>
      </c>
      <c r="G10" s="1"/>
    </row>
    <row r="11" spans="1:7" ht="15" customHeight="1" x14ac:dyDescent="0.25">
      <c r="A11" s="1"/>
      <c r="B11" s="106" t="s">
        <v>36</v>
      </c>
      <c r="C11" s="107"/>
      <c r="D11" s="108"/>
      <c r="E11" s="9">
        <v>3920302.4464000002</v>
      </c>
      <c r="F11" s="8" t="s">
        <v>3</v>
      </c>
      <c r="G11" s="1"/>
    </row>
    <row r="12" spans="1:7" x14ac:dyDescent="0.25">
      <c r="A12" s="1"/>
      <c r="B12" s="106" t="s">
        <v>26</v>
      </c>
      <c r="C12" s="107"/>
      <c r="D12" s="108"/>
      <c r="E12" s="9">
        <v>0</v>
      </c>
      <c r="F12" s="8" t="s">
        <v>3</v>
      </c>
      <c r="G12" s="1"/>
    </row>
    <row r="13" spans="1:7" x14ac:dyDescent="0.25">
      <c r="A13" s="1"/>
      <c r="B13" s="106" t="s">
        <v>25</v>
      </c>
      <c r="C13" s="107"/>
      <c r="D13" s="108"/>
      <c r="E13" s="9">
        <v>0</v>
      </c>
      <c r="F13" s="8" t="s">
        <v>3</v>
      </c>
      <c r="G13" s="1"/>
    </row>
    <row r="14" spans="1:7" x14ac:dyDescent="0.25">
      <c r="A14" s="1"/>
      <c r="B14" s="106" t="s">
        <v>114</v>
      </c>
      <c r="C14" s="107"/>
      <c r="D14" s="108"/>
      <c r="E14" s="9">
        <v>0</v>
      </c>
      <c r="F14" s="8" t="s">
        <v>3</v>
      </c>
      <c r="G14" s="1"/>
    </row>
    <row r="15" spans="1:7" x14ac:dyDescent="0.25">
      <c r="A15" s="1"/>
      <c r="B15" s="106" t="s">
        <v>115</v>
      </c>
      <c r="C15" s="107"/>
      <c r="D15" s="108"/>
      <c r="E15" s="9">
        <v>0</v>
      </c>
      <c r="F15" s="8" t="s">
        <v>3</v>
      </c>
      <c r="G15" s="1"/>
    </row>
    <row r="16" spans="1:7" x14ac:dyDescent="0.25">
      <c r="A16" s="1"/>
      <c r="B16" s="106" t="s">
        <v>17</v>
      </c>
      <c r="C16" s="107"/>
      <c r="D16" s="108"/>
      <c r="E16" s="9">
        <v>545954.15973511478</v>
      </c>
      <c r="F16" s="8" t="s">
        <v>3</v>
      </c>
      <c r="G16" s="30"/>
    </row>
    <row r="17" spans="1:7" x14ac:dyDescent="0.25">
      <c r="A17" s="1"/>
      <c r="B17" s="106" t="s">
        <v>9</v>
      </c>
      <c r="C17" s="107"/>
      <c r="D17" s="108"/>
      <c r="E17" s="9">
        <v>-968725.30031126703</v>
      </c>
      <c r="F17" s="8" t="s">
        <v>3</v>
      </c>
      <c r="G17" s="1"/>
    </row>
    <row r="18" spans="1:7" x14ac:dyDescent="0.25">
      <c r="A18" s="1"/>
      <c r="B18" s="106" t="s">
        <v>23</v>
      </c>
      <c r="C18" s="107"/>
      <c r="D18" s="108"/>
      <c r="E18" s="9">
        <v>-512083.70829777763</v>
      </c>
      <c r="F18" s="8" t="s">
        <v>3</v>
      </c>
      <c r="G18" s="1"/>
    </row>
    <row r="19" spans="1:7" x14ac:dyDescent="0.25">
      <c r="A19" s="1"/>
      <c r="B19" s="106" t="s">
        <v>24</v>
      </c>
      <c r="C19" s="107"/>
      <c r="D19" s="108"/>
      <c r="E19" s="9">
        <v>-743819.6121083718</v>
      </c>
      <c r="F19" s="8" t="s">
        <v>3</v>
      </c>
      <c r="G19" s="1"/>
    </row>
    <row r="20" spans="1:7" x14ac:dyDescent="0.25">
      <c r="A20" s="1"/>
      <c r="B20" s="119" t="s">
        <v>19</v>
      </c>
      <c r="C20" s="120"/>
      <c r="D20" s="121"/>
      <c r="E20" s="31">
        <f>SUM(E9:E19)</f>
        <v>48563139.757212348</v>
      </c>
      <c r="F20" s="34" t="s">
        <v>3</v>
      </c>
      <c r="G20" s="1"/>
    </row>
    <row r="21" spans="1:7" x14ac:dyDescent="0.25">
      <c r="A21" s="1"/>
      <c r="B21" s="71" t="s">
        <v>11</v>
      </c>
      <c r="C21" s="72"/>
      <c r="D21" s="72"/>
      <c r="E21" s="72"/>
      <c r="F21" s="19"/>
      <c r="G21" s="1"/>
    </row>
    <row r="22" spans="1:7" x14ac:dyDescent="0.25">
      <c r="A22" s="1"/>
      <c r="B22" s="109" t="s">
        <v>11</v>
      </c>
      <c r="C22" s="110"/>
      <c r="D22" s="111"/>
      <c r="E22" s="10">
        <v>18585785.648354363</v>
      </c>
      <c r="F22" s="11" t="s">
        <v>3</v>
      </c>
      <c r="G22" s="1"/>
    </row>
    <row r="23" spans="1:7" ht="15" customHeight="1" x14ac:dyDescent="0.25">
      <c r="A23" s="1"/>
      <c r="B23" s="125" t="s">
        <v>80</v>
      </c>
      <c r="C23" s="126"/>
      <c r="D23" s="126"/>
      <c r="E23" s="72"/>
      <c r="F23" s="72"/>
      <c r="G23" s="1"/>
    </row>
    <row r="24" spans="1:7" ht="14.25" customHeight="1" x14ac:dyDescent="0.25">
      <c r="A24" s="1"/>
      <c r="B24" s="116" t="s">
        <v>76</v>
      </c>
      <c r="C24" s="117"/>
      <c r="D24" s="118"/>
      <c r="E24" s="9">
        <v>0</v>
      </c>
      <c r="F24" s="8" t="s">
        <v>3</v>
      </c>
      <c r="G24" s="1"/>
    </row>
    <row r="25" spans="1:7" ht="14.25" customHeight="1" x14ac:dyDescent="0.25">
      <c r="A25" s="1"/>
      <c r="B25" s="116" t="s">
        <v>77</v>
      </c>
      <c r="C25" s="117"/>
      <c r="D25" s="118"/>
      <c r="E25" s="9">
        <v>0</v>
      </c>
      <c r="F25" s="8" t="s">
        <v>3</v>
      </c>
      <c r="G25" s="1"/>
    </row>
    <row r="26" spans="1:7" x14ac:dyDescent="0.25">
      <c r="A26" s="1"/>
      <c r="B26" s="122" t="s">
        <v>81</v>
      </c>
      <c r="C26" s="123"/>
      <c r="D26" s="123"/>
      <c r="E26" s="10">
        <v>0</v>
      </c>
      <c r="F26" s="11" t="s">
        <v>3</v>
      </c>
      <c r="G26" s="1"/>
    </row>
    <row r="27" spans="1:7" x14ac:dyDescent="0.25">
      <c r="A27" s="1"/>
      <c r="B27" s="71" t="s">
        <v>128</v>
      </c>
      <c r="C27" s="72"/>
      <c r="D27" s="72"/>
      <c r="E27" s="72"/>
      <c r="F27" s="19"/>
      <c r="G27" s="1"/>
    </row>
    <row r="28" spans="1:7" ht="15" customHeight="1" x14ac:dyDescent="0.25">
      <c r="A28" s="1"/>
      <c r="B28" s="122" t="s">
        <v>129</v>
      </c>
      <c r="C28" s="123"/>
      <c r="D28" s="124"/>
      <c r="E28" s="10">
        <v>0</v>
      </c>
      <c r="F28" s="11" t="s">
        <v>3</v>
      </c>
      <c r="G28" s="1"/>
    </row>
    <row r="29" spans="1:7" x14ac:dyDescent="0.25">
      <c r="A29" s="1"/>
      <c r="B29" s="71" t="s">
        <v>159</v>
      </c>
      <c r="C29" s="72"/>
      <c r="D29" s="72"/>
      <c r="E29" s="72"/>
      <c r="F29" s="19"/>
      <c r="G29" s="1"/>
    </row>
    <row r="30" spans="1:7" ht="15.6" customHeight="1" x14ac:dyDescent="0.25">
      <c r="A30" s="1"/>
      <c r="B30" s="109" t="s">
        <v>160</v>
      </c>
      <c r="C30" s="110"/>
      <c r="D30" s="111"/>
      <c r="E30" s="10">
        <v>0</v>
      </c>
      <c r="F30" s="11" t="s">
        <v>3</v>
      </c>
      <c r="G30" s="1"/>
    </row>
    <row r="31" spans="1:7" ht="15.6" customHeight="1" x14ac:dyDescent="0.25">
      <c r="A31" s="1"/>
      <c r="B31" s="127" t="s">
        <v>153</v>
      </c>
      <c r="C31" s="128"/>
      <c r="D31" s="128"/>
      <c r="E31" s="128"/>
      <c r="F31" s="129"/>
      <c r="G31" s="1"/>
    </row>
    <row r="32" spans="1:7" ht="15.6"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67148925.405566707</v>
      </c>
      <c r="F33" s="37" t="s">
        <v>3</v>
      </c>
      <c r="G33" s="1"/>
    </row>
    <row r="34" spans="1:7" ht="27.75" customHeight="1" x14ac:dyDescent="0.25">
      <c r="A34" s="1"/>
      <c r="B34" s="116" t="s">
        <v>173</v>
      </c>
      <c r="C34" s="117"/>
      <c r="D34" s="117"/>
      <c r="E34" s="117"/>
      <c r="F34" s="11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yLBb7I3His8vBAbcKUtMy70LE2PTDTEqqXIJlrvkiQfm+616Lrm7OR5c+Ti/91rk41oxkqLff5lF27JJ9rvyVA==" saltValue="M8EYOSPn9/Obof/57XAUxQ=="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2"/>
  <sheetViews>
    <sheetView showGridLines="0" view="pageLayout" zoomScaleNormal="100" workbookViewId="0"/>
  </sheetViews>
  <sheetFormatPr defaultColWidth="9.140625" defaultRowHeight="15" x14ac:dyDescent="0.25"/>
  <cols>
    <col min="1" max="1" width="6.140625" style="2" customWidth="1"/>
    <col min="2" max="5" width="9.140625" style="2"/>
    <col min="6" max="6" width="18.85546875" style="2" customWidth="1"/>
    <col min="7" max="7" width="13.42578125" style="43" customWidth="1"/>
    <col min="8" max="8" width="4.28515625" style="2" customWidth="1"/>
    <col min="9" max="9" width="6.7109375" style="2" customWidth="1"/>
    <col min="10" max="16384" width="9.140625" style="2"/>
  </cols>
  <sheetData>
    <row r="1" spans="1:9" ht="15" customHeight="1" x14ac:dyDescent="0.25">
      <c r="A1" s="1"/>
      <c r="B1" s="112" t="s">
        <v>98</v>
      </c>
      <c r="C1" s="112"/>
      <c r="D1" s="112"/>
      <c r="E1" s="112"/>
      <c r="F1" s="112"/>
      <c r="G1" s="112"/>
      <c r="H1" s="112"/>
      <c r="I1" s="1"/>
    </row>
    <row r="2" spans="1:9" ht="15" customHeight="1" x14ac:dyDescent="0.25">
      <c r="A2" s="1"/>
      <c r="B2" s="112"/>
      <c r="C2" s="112"/>
      <c r="D2" s="112"/>
      <c r="E2" s="112"/>
      <c r="F2" s="112"/>
      <c r="G2" s="112"/>
      <c r="H2" s="112"/>
      <c r="I2" s="1"/>
    </row>
    <row r="3" spans="1:9" ht="15" customHeight="1" x14ac:dyDescent="0.25">
      <c r="A3" s="1"/>
      <c r="B3" s="112"/>
      <c r="C3" s="112"/>
      <c r="D3" s="112"/>
      <c r="E3" s="112"/>
      <c r="F3" s="112"/>
      <c r="G3" s="112"/>
      <c r="H3" s="112"/>
      <c r="I3" s="1"/>
    </row>
    <row r="4" spans="1:9" x14ac:dyDescent="0.25">
      <c r="A4" s="1"/>
      <c r="B4" s="127" t="s">
        <v>49</v>
      </c>
      <c r="C4" s="128"/>
      <c r="D4" s="128"/>
      <c r="E4" s="128"/>
      <c r="F4" s="128"/>
      <c r="G4" s="128"/>
      <c r="H4" s="129"/>
      <c r="I4" s="1"/>
    </row>
    <row r="5" spans="1:9" x14ac:dyDescent="0.25">
      <c r="A5" s="1"/>
      <c r="B5" s="130" t="s">
        <v>38</v>
      </c>
      <c r="C5" s="131"/>
      <c r="D5" s="131"/>
      <c r="E5" s="131"/>
      <c r="F5" s="132"/>
      <c r="G5" s="58">
        <v>21373148.201934922</v>
      </c>
      <c r="H5" s="14" t="s">
        <v>3</v>
      </c>
      <c r="I5" s="1"/>
    </row>
    <row r="6" spans="1:9" x14ac:dyDescent="0.25">
      <c r="A6" s="1"/>
      <c r="B6" s="130" t="s">
        <v>39</v>
      </c>
      <c r="C6" s="131"/>
      <c r="D6" s="131"/>
      <c r="E6" s="131"/>
      <c r="F6" s="132"/>
      <c r="G6" s="58">
        <f>G5*'Fane 13. Nøgletal'!C31</f>
        <v>427462.96403869847</v>
      </c>
      <c r="H6" s="14" t="s">
        <v>3</v>
      </c>
      <c r="I6" s="1"/>
    </row>
    <row r="7" spans="1:9" x14ac:dyDescent="0.25">
      <c r="A7" s="1"/>
      <c r="B7" s="71"/>
      <c r="C7" s="72"/>
      <c r="D7" s="72"/>
      <c r="E7" s="72"/>
      <c r="F7" s="72"/>
      <c r="G7" s="59"/>
      <c r="H7" s="19"/>
      <c r="I7" s="1"/>
    </row>
    <row r="8" spans="1:9" x14ac:dyDescent="0.25">
      <c r="A8" s="1"/>
      <c r="B8" s="1"/>
      <c r="C8" s="1"/>
      <c r="D8" s="1"/>
      <c r="E8" s="1"/>
      <c r="F8" s="1"/>
      <c r="G8" s="60"/>
      <c r="H8" s="1"/>
      <c r="I8" s="1"/>
    </row>
    <row r="9" spans="1:9" x14ac:dyDescent="0.25">
      <c r="A9" s="1"/>
      <c r="B9" s="127" t="s">
        <v>50</v>
      </c>
      <c r="C9" s="128"/>
      <c r="D9" s="128"/>
      <c r="E9" s="128"/>
      <c r="F9" s="128"/>
      <c r="G9" s="133"/>
      <c r="H9" s="129"/>
      <c r="I9" s="1"/>
    </row>
    <row r="10" spans="1:9" x14ac:dyDescent="0.25">
      <c r="A10" s="1"/>
      <c r="B10" s="130" t="s">
        <v>40</v>
      </c>
      <c r="C10" s="131"/>
      <c r="D10" s="131"/>
      <c r="E10" s="131"/>
      <c r="F10" s="132"/>
      <c r="G10" s="58">
        <f>(G5-G6)*(1+'Fane 13. Nøgletal'!C9)</f>
        <v>21211695.440417502</v>
      </c>
      <c r="H10" s="14" t="s">
        <v>3</v>
      </c>
      <c r="I10" s="1"/>
    </row>
    <row r="11" spans="1:9" x14ac:dyDescent="0.25">
      <c r="A11" s="1"/>
      <c r="B11" s="134" t="s">
        <v>41</v>
      </c>
      <c r="C11" s="135"/>
      <c r="D11" s="135"/>
      <c r="E11" s="135"/>
      <c r="F11" s="136"/>
      <c r="G11" s="58">
        <v>0</v>
      </c>
      <c r="H11" s="14" t="s">
        <v>3</v>
      </c>
      <c r="I11" s="1"/>
    </row>
    <row r="12" spans="1:9" x14ac:dyDescent="0.25">
      <c r="A12" s="1"/>
      <c r="B12" s="130" t="s">
        <v>42</v>
      </c>
      <c r="C12" s="131"/>
      <c r="D12" s="131"/>
      <c r="E12" s="131"/>
      <c r="F12" s="132"/>
      <c r="G12" s="58">
        <f>(G10+G11)*'Fane 13. Nøgletal'!C31</f>
        <v>424233.90880835004</v>
      </c>
      <c r="H12" s="14" t="s">
        <v>3</v>
      </c>
      <c r="I12" s="1"/>
    </row>
    <row r="13" spans="1:9" x14ac:dyDescent="0.25">
      <c r="A13" s="1"/>
      <c r="B13" s="71"/>
      <c r="C13" s="72"/>
      <c r="D13" s="72"/>
      <c r="E13" s="72"/>
      <c r="F13" s="72"/>
      <c r="G13" s="59"/>
      <c r="H13" s="19"/>
      <c r="I13" s="1"/>
    </row>
    <row r="14" spans="1:9" x14ac:dyDescent="0.25">
      <c r="A14" s="1"/>
      <c r="B14" s="1"/>
      <c r="C14" s="1"/>
      <c r="D14" s="1"/>
      <c r="E14" s="1"/>
      <c r="F14" s="1"/>
      <c r="G14" s="60"/>
      <c r="H14" s="1"/>
      <c r="I14" s="1"/>
    </row>
    <row r="15" spans="1:9" x14ac:dyDescent="0.25">
      <c r="A15" s="1"/>
      <c r="B15" s="127" t="s">
        <v>51</v>
      </c>
      <c r="C15" s="128"/>
      <c r="D15" s="128"/>
      <c r="E15" s="128"/>
      <c r="F15" s="128"/>
      <c r="G15" s="133"/>
      <c r="H15" s="129"/>
      <c r="I15" s="1"/>
    </row>
    <row r="16" spans="1:9" x14ac:dyDescent="0.25">
      <c r="A16" s="1"/>
      <c r="B16" s="130" t="s">
        <v>43</v>
      </c>
      <c r="C16" s="131"/>
      <c r="D16" s="131"/>
      <c r="E16" s="131"/>
      <c r="F16" s="132"/>
      <c r="G16" s="58">
        <f>(G10+G11-G12)*(1+'Fane 13. Nøgletal'!C11)</f>
        <v>21138769.631493345</v>
      </c>
      <c r="H16" s="14" t="s">
        <v>3</v>
      </c>
      <c r="I16" s="1"/>
    </row>
    <row r="17" spans="1:9" x14ac:dyDescent="0.25">
      <c r="A17" s="1"/>
      <c r="B17" s="130" t="s">
        <v>108</v>
      </c>
      <c r="C17" s="131"/>
      <c r="D17" s="131"/>
      <c r="E17" s="131"/>
      <c r="F17" s="132"/>
      <c r="G17" s="58">
        <v>-377023.79225285392</v>
      </c>
      <c r="H17" s="14" t="s">
        <v>3</v>
      </c>
      <c r="I17" s="1"/>
    </row>
    <row r="18" spans="1:9" x14ac:dyDescent="0.25">
      <c r="A18" s="1"/>
      <c r="B18" s="134" t="s">
        <v>44</v>
      </c>
      <c r="C18" s="135"/>
      <c r="D18" s="135"/>
      <c r="E18" s="135"/>
      <c r="F18" s="136"/>
      <c r="G18" s="58">
        <v>0</v>
      </c>
      <c r="H18" s="14" t="s">
        <v>3</v>
      </c>
      <c r="I18" s="1"/>
    </row>
    <row r="19" spans="1:9" x14ac:dyDescent="0.25">
      <c r="A19" s="1"/>
      <c r="B19" s="130" t="s">
        <v>45</v>
      </c>
      <c r="C19" s="131"/>
      <c r="D19" s="131"/>
      <c r="E19" s="131"/>
      <c r="F19" s="132"/>
      <c r="G19" s="58">
        <f>SUM(G16:G18)*'Fane 13. Nøgletal'!C31</f>
        <v>415234.91678480984</v>
      </c>
      <c r="H19" s="14" t="s">
        <v>3</v>
      </c>
      <c r="I19" s="1"/>
    </row>
    <row r="20" spans="1:9" x14ac:dyDescent="0.25">
      <c r="A20" s="1"/>
      <c r="B20" s="71"/>
      <c r="C20" s="72"/>
      <c r="D20" s="72"/>
      <c r="E20" s="72"/>
      <c r="F20" s="72"/>
      <c r="G20" s="59"/>
      <c r="H20" s="19"/>
      <c r="I20" s="1"/>
    </row>
    <row r="21" spans="1:9" x14ac:dyDescent="0.25">
      <c r="A21" s="1"/>
      <c r="B21" s="1"/>
      <c r="C21" s="1"/>
      <c r="D21" s="1"/>
      <c r="E21" s="1"/>
      <c r="F21" s="1"/>
      <c r="G21" s="60"/>
      <c r="H21" s="1"/>
      <c r="I21" s="1"/>
    </row>
    <row r="22" spans="1:9" x14ac:dyDescent="0.25">
      <c r="A22" s="1"/>
      <c r="B22" s="127" t="s">
        <v>52</v>
      </c>
      <c r="C22" s="128"/>
      <c r="D22" s="128"/>
      <c r="E22" s="128"/>
      <c r="F22" s="128"/>
      <c r="G22" s="133"/>
      <c r="H22" s="129"/>
      <c r="I22" s="1"/>
    </row>
    <row r="23" spans="1:9" x14ac:dyDescent="0.25">
      <c r="A23" s="1"/>
      <c r="B23" s="130" t="s">
        <v>46</v>
      </c>
      <c r="C23" s="131"/>
      <c r="D23" s="131"/>
      <c r="E23" s="131"/>
      <c r="F23" s="132"/>
      <c r="G23" s="58">
        <f>(SUM(G16:G18)-G19)*(1+'Fane 13. Nøgletal'!C11)</f>
        <v>20690366.957045183</v>
      </c>
      <c r="H23" s="14" t="s">
        <v>3</v>
      </c>
      <c r="I23" s="1"/>
    </row>
    <row r="24" spans="1:9" x14ac:dyDescent="0.25">
      <c r="A24" s="1"/>
      <c r="B24" s="134" t="s">
        <v>47</v>
      </c>
      <c r="C24" s="135"/>
      <c r="D24" s="135"/>
      <c r="E24" s="135"/>
      <c r="F24" s="136"/>
      <c r="G24" s="58">
        <v>0</v>
      </c>
      <c r="H24" s="14" t="s">
        <v>3</v>
      </c>
      <c r="I24" s="1"/>
    </row>
    <row r="25" spans="1:9" x14ac:dyDescent="0.25">
      <c r="A25" s="1"/>
      <c r="B25" s="130" t="s">
        <v>48</v>
      </c>
      <c r="C25" s="131"/>
      <c r="D25" s="131"/>
      <c r="E25" s="131"/>
      <c r="F25" s="132"/>
      <c r="G25" s="58">
        <f>(G23+G24)*'Fane 13. Nøgletal'!C31</f>
        <v>413807.33914090367</v>
      </c>
      <c r="H25" s="14" t="s">
        <v>3</v>
      </c>
      <c r="I25" s="1"/>
    </row>
    <row r="26" spans="1:9" x14ac:dyDescent="0.25">
      <c r="A26" s="1"/>
      <c r="B26" s="71"/>
      <c r="C26" s="72"/>
      <c r="D26" s="72"/>
      <c r="E26" s="72"/>
      <c r="F26" s="72"/>
      <c r="G26" s="59"/>
      <c r="H26" s="19"/>
      <c r="I26" s="1"/>
    </row>
    <row r="27" spans="1:9" x14ac:dyDescent="0.25">
      <c r="A27" s="1"/>
      <c r="B27" s="1"/>
      <c r="C27" s="1"/>
      <c r="D27" s="1"/>
      <c r="E27" s="1"/>
      <c r="F27" s="1"/>
      <c r="G27" s="60"/>
      <c r="H27" s="1"/>
      <c r="I27" s="1"/>
    </row>
    <row r="28" spans="1:9" x14ac:dyDescent="0.25">
      <c r="A28" s="1"/>
      <c r="B28" s="127" t="s">
        <v>132</v>
      </c>
      <c r="C28" s="128"/>
      <c r="D28" s="128"/>
      <c r="E28" s="128"/>
      <c r="F28" s="128"/>
      <c r="G28" s="133"/>
      <c r="H28" s="129"/>
      <c r="I28" s="1"/>
    </row>
    <row r="29" spans="1:9" x14ac:dyDescent="0.25">
      <c r="A29" s="1"/>
      <c r="B29" s="130" t="s">
        <v>55</v>
      </c>
      <c r="C29" s="131"/>
      <c r="D29" s="131"/>
      <c r="E29" s="131"/>
      <c r="F29" s="132"/>
      <c r="G29" s="58">
        <f>(G23+G24-G25)*(1+'Fane 13. Nøgletal'!C13)</f>
        <v>20523933.64524271</v>
      </c>
      <c r="H29" s="14" t="s">
        <v>3</v>
      </c>
      <c r="I29" s="1"/>
    </row>
    <row r="30" spans="1:9" x14ac:dyDescent="0.25">
      <c r="A30" s="1"/>
      <c r="B30" s="130" t="s">
        <v>121</v>
      </c>
      <c r="C30" s="131"/>
      <c r="D30" s="131"/>
      <c r="E30" s="131"/>
      <c r="F30" s="132"/>
      <c r="G30" s="58">
        <v>1639293.5122326</v>
      </c>
      <c r="H30" s="14" t="s">
        <v>3</v>
      </c>
      <c r="I30" s="1"/>
    </row>
    <row r="31" spans="1:9" x14ac:dyDescent="0.25">
      <c r="A31" s="1"/>
      <c r="B31" s="130" t="s">
        <v>126</v>
      </c>
      <c r="C31" s="131"/>
      <c r="D31" s="131"/>
      <c r="E31" s="131"/>
      <c r="F31" s="132"/>
      <c r="G31" s="58">
        <f>(G29+G30)*'Fane 13. Nøgletal'!C31</f>
        <v>443264.54314950621</v>
      </c>
      <c r="H31" s="14" t="s">
        <v>3</v>
      </c>
      <c r="I31" s="1"/>
    </row>
    <row r="32" spans="1:9" x14ac:dyDescent="0.25">
      <c r="A32" s="1"/>
      <c r="B32" s="71"/>
      <c r="C32" s="72"/>
      <c r="D32" s="72"/>
      <c r="E32" s="72"/>
      <c r="F32" s="72"/>
      <c r="G32" s="59"/>
      <c r="H32" s="19"/>
      <c r="I32" s="1"/>
    </row>
    <row r="33" spans="1:9" x14ac:dyDescent="0.25">
      <c r="A33" s="1"/>
      <c r="B33" s="1"/>
      <c r="C33" s="1"/>
      <c r="D33" s="1"/>
      <c r="E33" s="1"/>
      <c r="F33" s="1"/>
      <c r="G33" s="60"/>
      <c r="H33" s="1"/>
      <c r="I33" s="1"/>
    </row>
    <row r="34" spans="1:9" x14ac:dyDescent="0.25">
      <c r="A34" s="1"/>
      <c r="B34" s="127" t="s">
        <v>133</v>
      </c>
      <c r="C34" s="128"/>
      <c r="D34" s="128"/>
      <c r="E34" s="128"/>
      <c r="F34" s="128"/>
      <c r="G34" s="133"/>
      <c r="H34" s="129"/>
      <c r="I34" s="1"/>
    </row>
    <row r="35" spans="1:9" x14ac:dyDescent="0.25">
      <c r="A35" s="1"/>
      <c r="B35" s="130" t="s">
        <v>74</v>
      </c>
      <c r="C35" s="131"/>
      <c r="D35" s="131"/>
      <c r="E35" s="131"/>
      <c r="F35" s="132"/>
      <c r="G35" s="58">
        <f>(G29+G30-G31)*(1+'Fane 13. Nøgletal'!C13)</f>
        <v>21984946.158220582</v>
      </c>
      <c r="H35" s="14" t="s">
        <v>3</v>
      </c>
      <c r="I35" s="1"/>
    </row>
    <row r="36" spans="1:9" x14ac:dyDescent="0.25">
      <c r="A36" s="1"/>
      <c r="B36" s="130" t="s">
        <v>152</v>
      </c>
      <c r="C36" s="131"/>
      <c r="D36" s="131"/>
      <c r="E36" s="131"/>
      <c r="F36" s="132"/>
      <c r="G36" s="58">
        <f>('Fane 3. Omkostninger i ØR2022'!E10+'Fane 3. Omkostninger i ØR2022'!E12+'Fane 3. Omkostninger i ØR2022'!E14)*(1+'Fane 13. Nøgletal'!C14)</f>
        <v>3619239.2566683008</v>
      </c>
      <c r="H36" s="14" t="s">
        <v>3</v>
      </c>
      <c r="I36" s="1"/>
    </row>
    <row r="37" spans="1:9" x14ac:dyDescent="0.25">
      <c r="A37" s="1"/>
      <c r="B37" s="130" t="s">
        <v>134</v>
      </c>
      <c r="C37" s="131"/>
      <c r="D37" s="131"/>
      <c r="E37" s="131"/>
      <c r="F37" s="132"/>
      <c r="G37" s="58">
        <f>(G35+G36)*'Fane 13. Nøgletal'!C31</f>
        <v>512083.70829777763</v>
      </c>
      <c r="H37" s="14" t="s">
        <v>3</v>
      </c>
      <c r="I37" s="1"/>
    </row>
    <row r="38" spans="1:9" x14ac:dyDescent="0.25">
      <c r="A38" s="1"/>
      <c r="B38" s="71"/>
      <c r="C38" s="72"/>
      <c r="D38" s="72"/>
      <c r="E38" s="72"/>
      <c r="F38" s="72"/>
      <c r="G38" s="59"/>
      <c r="H38" s="19"/>
      <c r="I38" s="1"/>
    </row>
    <row r="39" spans="1:9" x14ac:dyDescent="0.25">
      <c r="A39" s="1"/>
      <c r="B39" s="1"/>
      <c r="C39" s="1"/>
      <c r="D39" s="1"/>
      <c r="E39" s="1"/>
      <c r="F39" s="1"/>
      <c r="G39" s="60"/>
      <c r="H39" s="1"/>
      <c r="I39" s="1"/>
    </row>
    <row r="40" spans="1:9" x14ac:dyDescent="0.25">
      <c r="A40" s="1"/>
      <c r="B40" s="127" t="s">
        <v>198</v>
      </c>
      <c r="C40" s="128"/>
      <c r="D40" s="128"/>
      <c r="E40" s="128"/>
      <c r="F40" s="128"/>
      <c r="G40" s="133"/>
      <c r="H40" s="129"/>
      <c r="I40" s="1"/>
    </row>
    <row r="41" spans="1:9" x14ac:dyDescent="0.25">
      <c r="A41" s="1"/>
      <c r="B41" s="130" t="s">
        <v>73</v>
      </c>
      <c r="C41" s="131"/>
      <c r="D41" s="131"/>
      <c r="E41" s="131"/>
      <c r="F41" s="132"/>
      <c r="G41" s="58">
        <f>(G35+G36-G37)*(1+'Fane 13. Nøgletal'!C15)</f>
        <v>25985380.527345747</v>
      </c>
      <c r="H41" s="14" t="s">
        <v>3</v>
      </c>
      <c r="I41" s="1"/>
    </row>
    <row r="42" spans="1:9" x14ac:dyDescent="0.25">
      <c r="A42" s="1"/>
      <c r="B42" s="130" t="s">
        <v>197</v>
      </c>
      <c r="C42" s="131"/>
      <c r="D42" s="131"/>
      <c r="E42" s="131"/>
      <c r="F42" s="132"/>
      <c r="G42" s="58">
        <f>('Fane 2.1. Økonomisk ramme 2023'!C9+'Fane 2.1. Økonomisk ramme 2023'!C11+'Fane 2.1. Økonomisk ramme 2023'!C13)*(1+'Fane 13. Nøgletal'!C15)</f>
        <v>34017.592191840005</v>
      </c>
      <c r="H42" s="14" t="s">
        <v>3</v>
      </c>
      <c r="I42" s="1"/>
    </row>
    <row r="43" spans="1:9" x14ac:dyDescent="0.25">
      <c r="A43" s="1"/>
      <c r="B43" s="130" t="s">
        <v>208</v>
      </c>
      <c r="C43" s="131"/>
      <c r="D43" s="131"/>
      <c r="E43" s="131"/>
      <c r="F43" s="132"/>
      <c r="G43" s="58">
        <f>(G41+G42)*'Fane 13. Nøgletal'!C31</f>
        <v>520387.96239075175</v>
      </c>
      <c r="H43" s="14" t="s">
        <v>3</v>
      </c>
      <c r="I43" s="1"/>
    </row>
    <row r="44" spans="1:9" x14ac:dyDescent="0.25">
      <c r="A44" s="1"/>
      <c r="B44" s="71"/>
      <c r="C44" s="72"/>
      <c r="D44" s="72"/>
      <c r="E44" s="72"/>
      <c r="F44" s="72"/>
      <c r="G44" s="59"/>
      <c r="H44" s="19"/>
      <c r="I44" s="1"/>
    </row>
    <row r="45" spans="1:9" x14ac:dyDescent="0.25">
      <c r="A45" s="1"/>
      <c r="B45" s="1"/>
      <c r="C45" s="1"/>
      <c r="D45" s="1"/>
      <c r="E45" s="1"/>
      <c r="F45" s="1"/>
      <c r="G45" s="60"/>
      <c r="H45" s="1"/>
      <c r="I45" s="1"/>
    </row>
    <row r="46" spans="1:9" x14ac:dyDescent="0.25">
      <c r="A46" s="1"/>
      <c r="B46" s="127" t="s">
        <v>199</v>
      </c>
      <c r="C46" s="128"/>
      <c r="D46" s="128"/>
      <c r="E46" s="128"/>
      <c r="F46" s="128"/>
      <c r="G46" s="133"/>
      <c r="H46" s="129"/>
      <c r="I46" s="1"/>
    </row>
    <row r="47" spans="1:9" x14ac:dyDescent="0.25">
      <c r="A47" s="1"/>
      <c r="B47" s="130" t="s">
        <v>122</v>
      </c>
      <c r="C47" s="131"/>
      <c r="D47" s="131"/>
      <c r="E47" s="131"/>
      <c r="F47" s="132"/>
      <c r="G47" s="58">
        <f>(G41+G42-G43)*(1+'Fane 13. Nøgletal'!C15)</f>
        <v>26406774.918741267</v>
      </c>
      <c r="H47" s="14" t="s">
        <v>3</v>
      </c>
      <c r="I47" s="1"/>
    </row>
    <row r="48" spans="1:9" x14ac:dyDescent="0.25">
      <c r="A48" s="1"/>
      <c r="B48" s="130" t="s">
        <v>209</v>
      </c>
      <c r="C48" s="131"/>
      <c r="D48" s="131"/>
      <c r="E48" s="131"/>
      <c r="F48" s="132"/>
      <c r="G48" s="58">
        <f>(G47)*'Fane 13. Nøgletal'!C31</f>
        <v>528135.49837482534</v>
      </c>
      <c r="H48" s="14" t="s">
        <v>3</v>
      </c>
      <c r="I48" s="1"/>
    </row>
    <row r="49" spans="1:9" x14ac:dyDescent="0.25">
      <c r="A49" s="1"/>
      <c r="B49" s="71"/>
      <c r="C49" s="72"/>
      <c r="D49" s="72"/>
      <c r="E49" s="72"/>
      <c r="F49" s="72"/>
      <c r="G49" s="59"/>
      <c r="H49" s="19"/>
      <c r="I49" s="1"/>
    </row>
    <row r="50" spans="1:9" x14ac:dyDescent="0.25">
      <c r="A50" s="1"/>
      <c r="B50" s="1"/>
      <c r="C50" s="1"/>
      <c r="D50" s="1"/>
      <c r="E50" s="1"/>
      <c r="F50" s="1"/>
      <c r="G50" s="60"/>
      <c r="H50" s="1"/>
      <c r="I50" s="1"/>
    </row>
    <row r="51" spans="1:9" x14ac:dyDescent="0.25">
      <c r="A51" s="1"/>
      <c r="B51" s="127" t="s">
        <v>145</v>
      </c>
      <c r="C51" s="128"/>
      <c r="D51" s="128"/>
      <c r="E51" s="128"/>
      <c r="F51" s="128"/>
      <c r="G51" s="133"/>
      <c r="H51" s="129"/>
      <c r="I51" s="1"/>
    </row>
    <row r="52" spans="1:9" x14ac:dyDescent="0.25">
      <c r="A52" s="1"/>
      <c r="B52" s="130" t="s">
        <v>146</v>
      </c>
      <c r="C52" s="131"/>
      <c r="D52" s="131"/>
      <c r="E52" s="131"/>
      <c r="F52" s="132"/>
      <c r="G52" s="58">
        <f>(G47-G48)*(1+'Fane 13. Nøgletal'!C15)</f>
        <v>26799918.98373149</v>
      </c>
      <c r="H52" s="14" t="s">
        <v>3</v>
      </c>
      <c r="I52" s="1"/>
    </row>
    <row r="53" spans="1:9" x14ac:dyDescent="0.25">
      <c r="A53" s="1"/>
      <c r="B53" s="130" t="s">
        <v>147</v>
      </c>
      <c r="C53" s="131"/>
      <c r="D53" s="131"/>
      <c r="E53" s="131"/>
      <c r="F53" s="132"/>
      <c r="G53" s="58">
        <f>(G52)*'Fane 13. Nøgletal'!C31</f>
        <v>535998.37967462977</v>
      </c>
      <c r="H53" s="14" t="s">
        <v>3</v>
      </c>
      <c r="I53" s="1"/>
    </row>
    <row r="54" spans="1:9" x14ac:dyDescent="0.25">
      <c r="A54" s="1"/>
      <c r="B54" s="71"/>
      <c r="C54" s="72"/>
      <c r="D54" s="72"/>
      <c r="E54" s="72"/>
      <c r="F54" s="72"/>
      <c r="G54" s="59"/>
      <c r="H54" s="19"/>
      <c r="I54" s="1"/>
    </row>
    <row r="55" spans="1:9" x14ac:dyDescent="0.25">
      <c r="A55" s="1"/>
      <c r="B55" s="1"/>
      <c r="C55" s="1"/>
      <c r="D55" s="1"/>
      <c r="E55" s="1"/>
      <c r="F55" s="1"/>
      <c r="G55" s="60"/>
      <c r="H55" s="1"/>
      <c r="I55" s="1"/>
    </row>
    <row r="56" spans="1:9" x14ac:dyDescent="0.25">
      <c r="A56" s="1"/>
      <c r="B56" s="127" t="s">
        <v>174</v>
      </c>
      <c r="C56" s="128"/>
      <c r="D56" s="128"/>
      <c r="E56" s="128"/>
      <c r="F56" s="128"/>
      <c r="G56" s="133"/>
      <c r="H56" s="129"/>
      <c r="I56" s="1"/>
    </row>
    <row r="57" spans="1:9" x14ac:dyDescent="0.25">
      <c r="A57" s="1"/>
      <c r="B57" s="130" t="s">
        <v>175</v>
      </c>
      <c r="C57" s="131"/>
      <c r="D57" s="131"/>
      <c r="E57" s="131"/>
      <c r="F57" s="132"/>
      <c r="G57" s="58">
        <f>(G52-G53)*(1+'Fane 13. Nøgletal'!C15)</f>
        <v>27198916.177561287</v>
      </c>
      <c r="H57" s="14" t="s">
        <v>3</v>
      </c>
      <c r="I57" s="1"/>
    </row>
    <row r="58" spans="1:9" x14ac:dyDescent="0.25">
      <c r="A58" s="1"/>
      <c r="B58" s="130" t="s">
        <v>176</v>
      </c>
      <c r="C58" s="131"/>
      <c r="D58" s="131"/>
      <c r="E58" s="131"/>
      <c r="F58" s="132"/>
      <c r="G58" s="58">
        <f>(G57)*'Fane 13. Nøgletal'!C31</f>
        <v>543978.32355122571</v>
      </c>
      <c r="H58" s="14" t="s">
        <v>3</v>
      </c>
      <c r="I58" s="1"/>
    </row>
    <row r="59" spans="1:9" x14ac:dyDescent="0.25">
      <c r="A59" s="1"/>
      <c r="B59" s="71"/>
      <c r="C59" s="72"/>
      <c r="D59" s="72"/>
      <c r="E59" s="72"/>
      <c r="F59" s="72"/>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sheetData>
  <sheetProtection algorithmName="SHA-512" hashValue="Saw9SVzu/a7eBjZRED5CZAA1MpNEDM7dFmphu6vplnskGRvryKuV3koE3QuLuP9ajhhuodT3mFrzfQubNpnl6A==" saltValue="AEsTRnBZdeH7RyecRB8Eu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2"/>
  <sheetViews>
    <sheetView showGridLines="0" view="pageLayout" zoomScaleNormal="120" workbookViewId="0"/>
  </sheetViews>
  <sheetFormatPr defaultColWidth="9.140625" defaultRowHeight="15" x14ac:dyDescent="0.25"/>
  <cols>
    <col min="1" max="1" width="6.28515625" style="2" customWidth="1"/>
    <col min="2" max="5" width="9.140625" style="2"/>
    <col min="6" max="6" width="18" style="2" customWidth="1"/>
    <col min="7" max="7" width="10.28515625" style="2" customWidth="1"/>
    <col min="8" max="8" width="9.7109375" style="2" customWidth="1"/>
    <col min="9" max="9" width="6" style="2" customWidth="1"/>
    <col min="10" max="16384" width="9.140625" style="2"/>
  </cols>
  <sheetData>
    <row r="1" spans="1:9" x14ac:dyDescent="0.25">
      <c r="A1" s="1"/>
      <c r="B1" s="137" t="s">
        <v>99</v>
      </c>
      <c r="C1" s="138"/>
      <c r="D1" s="138"/>
      <c r="E1" s="138"/>
      <c r="F1" s="138"/>
      <c r="G1" s="138"/>
      <c r="H1" s="138"/>
      <c r="I1" s="1"/>
    </row>
    <row r="2" spans="1:9" ht="19.899999999999999" customHeight="1" x14ac:dyDescent="0.25">
      <c r="A2" s="1"/>
      <c r="B2" s="138"/>
      <c r="C2" s="138"/>
      <c r="D2" s="138"/>
      <c r="E2" s="138"/>
      <c r="F2" s="138"/>
      <c r="G2" s="138"/>
      <c r="H2" s="138"/>
      <c r="I2" s="1"/>
    </row>
    <row r="3" spans="1:9" ht="15" customHeight="1" x14ac:dyDescent="0.25">
      <c r="A3" s="1"/>
      <c r="B3" s="139"/>
      <c r="C3" s="139"/>
      <c r="D3" s="139"/>
      <c r="E3" s="139"/>
      <c r="F3" s="139"/>
      <c r="G3" s="139"/>
      <c r="H3" s="139"/>
      <c r="I3" s="1"/>
    </row>
    <row r="4" spans="1:9" x14ac:dyDescent="0.25">
      <c r="A4" s="1"/>
      <c r="B4" s="127" t="s">
        <v>53</v>
      </c>
      <c r="C4" s="128"/>
      <c r="D4" s="128"/>
      <c r="E4" s="128"/>
      <c r="F4" s="128"/>
      <c r="G4" s="128"/>
      <c r="H4" s="129"/>
      <c r="I4" s="1"/>
    </row>
    <row r="5" spans="1:9" x14ac:dyDescent="0.25">
      <c r="A5" s="1"/>
      <c r="B5" s="130" t="s">
        <v>56</v>
      </c>
      <c r="C5" s="131"/>
      <c r="D5" s="131"/>
      <c r="E5" s="131"/>
      <c r="F5" s="132"/>
      <c r="G5" s="58">
        <v>22531246</v>
      </c>
      <c r="H5" s="14" t="s">
        <v>3</v>
      </c>
      <c r="I5" s="1"/>
    </row>
    <row r="6" spans="1:9" x14ac:dyDescent="0.25">
      <c r="A6" s="1"/>
      <c r="B6" s="130" t="s">
        <v>54</v>
      </c>
      <c r="C6" s="131"/>
      <c r="D6" s="131"/>
      <c r="E6" s="131"/>
      <c r="F6" s="132"/>
      <c r="G6" s="58">
        <f>G5*'Fane 13. Nøgletal'!C20</f>
        <v>205034.33860000002</v>
      </c>
      <c r="H6" s="14" t="s">
        <v>3</v>
      </c>
      <c r="I6" s="1"/>
    </row>
    <row r="7" spans="1:9" x14ac:dyDescent="0.25">
      <c r="A7" s="1"/>
      <c r="B7" s="71"/>
      <c r="C7" s="72"/>
      <c r="D7" s="72"/>
      <c r="E7" s="72"/>
      <c r="F7" s="72"/>
      <c r="G7" s="61"/>
      <c r="H7" s="19"/>
      <c r="I7" s="1"/>
    </row>
    <row r="8" spans="1:9" x14ac:dyDescent="0.25">
      <c r="A8" s="1"/>
      <c r="B8" s="1"/>
      <c r="C8" s="1"/>
      <c r="D8" s="1"/>
      <c r="E8" s="1"/>
      <c r="F8" s="1"/>
      <c r="G8" s="62"/>
      <c r="H8" s="1"/>
      <c r="I8" s="1"/>
    </row>
    <row r="9" spans="1:9" x14ac:dyDescent="0.25">
      <c r="A9" s="1"/>
      <c r="B9" s="127" t="s">
        <v>57</v>
      </c>
      <c r="C9" s="128"/>
      <c r="D9" s="128"/>
      <c r="E9" s="128"/>
      <c r="F9" s="128"/>
      <c r="G9" s="133"/>
      <c r="H9" s="129"/>
      <c r="I9" s="1"/>
    </row>
    <row r="10" spans="1:9" x14ac:dyDescent="0.25">
      <c r="A10" s="1"/>
      <c r="B10" s="130" t="s">
        <v>58</v>
      </c>
      <c r="C10" s="131"/>
      <c r="D10" s="131"/>
      <c r="E10" s="131"/>
      <c r="F10" s="132"/>
      <c r="G10" s="58">
        <f>(G5-G6)*(1+'Fane 13. Nøgletal'!C9)</f>
        <v>22609754.54949978</v>
      </c>
      <c r="H10" s="14" t="s">
        <v>3</v>
      </c>
      <c r="I10" s="1"/>
    </row>
    <row r="11" spans="1:9" x14ac:dyDescent="0.25">
      <c r="A11" s="1"/>
      <c r="B11" s="134" t="s">
        <v>59</v>
      </c>
      <c r="C11" s="135"/>
      <c r="D11" s="135"/>
      <c r="E11" s="135"/>
      <c r="F11" s="136"/>
      <c r="G11" s="63">
        <v>0</v>
      </c>
      <c r="H11" s="14" t="s">
        <v>3</v>
      </c>
      <c r="I11" s="1"/>
    </row>
    <row r="12" spans="1:9" x14ac:dyDescent="0.25">
      <c r="A12" s="1"/>
      <c r="B12" s="130" t="s">
        <v>60</v>
      </c>
      <c r="C12" s="131"/>
      <c r="D12" s="131"/>
      <c r="E12" s="131"/>
      <c r="F12" s="132"/>
      <c r="G12" s="58">
        <f>G10*'Fane 13. Nøgletal'!C20+G11*'Fane 13. Nøgletal'!C21</f>
        <v>205748.76640044802</v>
      </c>
      <c r="H12" s="14" t="s">
        <v>3</v>
      </c>
      <c r="I12" s="1"/>
    </row>
    <row r="13" spans="1:9" x14ac:dyDescent="0.25">
      <c r="A13" s="1"/>
      <c r="B13" s="71"/>
      <c r="C13" s="72"/>
      <c r="D13" s="72"/>
      <c r="E13" s="72"/>
      <c r="F13" s="72"/>
      <c r="G13" s="61"/>
      <c r="H13" s="19"/>
      <c r="I13" s="1"/>
    </row>
    <row r="14" spans="1:9" x14ac:dyDescent="0.25">
      <c r="A14" s="1"/>
      <c r="B14" s="1"/>
      <c r="C14" s="1"/>
      <c r="D14" s="1"/>
      <c r="E14" s="1"/>
      <c r="F14" s="1"/>
      <c r="G14" s="62"/>
      <c r="H14" s="1"/>
      <c r="I14" s="1"/>
    </row>
    <row r="15" spans="1:9" x14ac:dyDescent="0.25">
      <c r="A15" s="1"/>
      <c r="B15" s="127" t="s">
        <v>61</v>
      </c>
      <c r="C15" s="128"/>
      <c r="D15" s="128"/>
      <c r="E15" s="128"/>
      <c r="F15" s="128"/>
      <c r="G15" s="133"/>
      <c r="H15" s="129"/>
      <c r="I15" s="1"/>
    </row>
    <row r="16" spans="1:9" x14ac:dyDescent="0.25">
      <c r="A16" s="1"/>
      <c r="B16" s="130" t="s">
        <v>62</v>
      </c>
      <c r="C16" s="131"/>
      <c r="D16" s="131"/>
      <c r="E16" s="131"/>
      <c r="F16" s="132"/>
      <c r="G16" s="58">
        <f>(G10+G11-G12)*(1+'Fane 13. Nøgletal'!C11)</f>
        <v>22782633.480833709</v>
      </c>
      <c r="H16" s="14" t="s">
        <v>3</v>
      </c>
      <c r="I16" s="1"/>
    </row>
    <row r="17" spans="1:9" x14ac:dyDescent="0.25">
      <c r="A17" s="1"/>
      <c r="B17" s="130" t="s">
        <v>109</v>
      </c>
      <c r="C17" s="131"/>
      <c r="D17" s="131"/>
      <c r="E17" s="131"/>
      <c r="F17" s="132"/>
      <c r="G17" s="58">
        <v>-50363.174337000324</v>
      </c>
      <c r="H17" s="14" t="s">
        <v>3</v>
      </c>
      <c r="I17" s="1"/>
    </row>
    <row r="18" spans="1:9" x14ac:dyDescent="0.25">
      <c r="A18" s="1"/>
      <c r="B18" s="134" t="s">
        <v>63</v>
      </c>
      <c r="C18" s="135"/>
      <c r="D18" s="135"/>
      <c r="E18" s="135"/>
      <c r="F18" s="136"/>
      <c r="G18" s="58">
        <v>0</v>
      </c>
      <c r="H18" s="14" t="s">
        <v>3</v>
      </c>
      <c r="I18" s="1"/>
    </row>
    <row r="19" spans="1:9" x14ac:dyDescent="0.25">
      <c r="A19" s="1"/>
      <c r="B19" s="130" t="s">
        <v>64</v>
      </c>
      <c r="C19" s="131"/>
      <c r="D19" s="131"/>
      <c r="E19" s="131"/>
      <c r="F19" s="132"/>
      <c r="G19" s="58">
        <f>(G16+G17+G18)*'Fane 13. Nøgletal'!C22</f>
        <v>197770.75166652136</v>
      </c>
      <c r="H19" s="14" t="s">
        <v>3</v>
      </c>
      <c r="I19" s="1"/>
    </row>
    <row r="20" spans="1:9" x14ac:dyDescent="0.25">
      <c r="A20" s="1"/>
      <c r="B20" s="71"/>
      <c r="C20" s="72"/>
      <c r="D20" s="72"/>
      <c r="E20" s="72"/>
      <c r="F20" s="72"/>
      <c r="G20" s="61"/>
      <c r="H20" s="19"/>
      <c r="I20" s="1"/>
    </row>
    <row r="21" spans="1:9" x14ac:dyDescent="0.25">
      <c r="A21" s="1"/>
      <c r="B21" s="1"/>
      <c r="C21" s="1"/>
      <c r="D21" s="1"/>
      <c r="E21" s="1"/>
      <c r="F21" s="1"/>
      <c r="G21" s="62"/>
      <c r="H21" s="1"/>
      <c r="I21" s="1"/>
    </row>
    <row r="22" spans="1:9" x14ac:dyDescent="0.25">
      <c r="A22" s="1"/>
      <c r="B22" s="127" t="s">
        <v>65</v>
      </c>
      <c r="C22" s="128"/>
      <c r="D22" s="128"/>
      <c r="E22" s="128"/>
      <c r="F22" s="128"/>
      <c r="G22" s="133"/>
      <c r="H22" s="129"/>
      <c r="I22" s="1"/>
    </row>
    <row r="23" spans="1:9" x14ac:dyDescent="0.25">
      <c r="A23" s="1"/>
      <c r="B23" s="130" t="s">
        <v>66</v>
      </c>
      <c r="C23" s="131"/>
      <c r="D23" s="131"/>
      <c r="E23" s="131"/>
      <c r="F23" s="132"/>
      <c r="G23" s="58">
        <f>(SUM(G16:G18)-G19)*(1+'Fane 13. Nøgletal'!C11)</f>
        <v>22915332.597306818</v>
      </c>
      <c r="H23" s="14" t="s">
        <v>3</v>
      </c>
      <c r="I23" s="1"/>
    </row>
    <row r="24" spans="1:9" x14ac:dyDescent="0.25">
      <c r="A24" s="1"/>
      <c r="B24" s="134" t="s">
        <v>67</v>
      </c>
      <c r="C24" s="135"/>
      <c r="D24" s="135"/>
      <c r="E24" s="135"/>
      <c r="F24" s="136"/>
      <c r="G24" s="58">
        <v>0</v>
      </c>
      <c r="H24" s="14" t="s">
        <v>3</v>
      </c>
      <c r="I24" s="1"/>
    </row>
    <row r="25" spans="1:9" x14ac:dyDescent="0.25">
      <c r="A25" s="1"/>
      <c r="B25" s="130" t="s">
        <v>68</v>
      </c>
      <c r="C25" s="131"/>
      <c r="D25" s="131"/>
      <c r="E25" s="131"/>
      <c r="F25" s="132"/>
      <c r="G25" s="58">
        <f>G23*'Fane 13. Nøgletal'!C22+G24*'Fane 13. Nøgletal'!C23</f>
        <v>199363.39359656931</v>
      </c>
      <c r="H25" s="14" t="s">
        <v>3</v>
      </c>
      <c r="I25" s="1"/>
    </row>
    <row r="26" spans="1:9" x14ac:dyDescent="0.25">
      <c r="A26" s="1"/>
      <c r="B26" s="71"/>
      <c r="C26" s="72"/>
      <c r="D26" s="72"/>
      <c r="E26" s="72"/>
      <c r="F26" s="72"/>
      <c r="G26" s="61"/>
      <c r="H26" s="19"/>
      <c r="I26" s="1"/>
    </row>
    <row r="27" spans="1:9" x14ac:dyDescent="0.25">
      <c r="A27" s="1"/>
      <c r="B27" s="1"/>
      <c r="C27" s="1"/>
      <c r="D27" s="1"/>
      <c r="E27" s="1"/>
      <c r="F27" s="1"/>
      <c r="G27" s="62"/>
      <c r="H27" s="1"/>
      <c r="I27" s="1"/>
    </row>
    <row r="28" spans="1:9" x14ac:dyDescent="0.25">
      <c r="A28" s="1"/>
      <c r="B28" s="127" t="s">
        <v>130</v>
      </c>
      <c r="C28" s="128"/>
      <c r="D28" s="128"/>
      <c r="E28" s="128"/>
      <c r="F28" s="128"/>
      <c r="G28" s="133"/>
      <c r="H28" s="129"/>
      <c r="I28" s="1"/>
    </row>
    <row r="29" spans="1:9" x14ac:dyDescent="0.25">
      <c r="A29" s="1"/>
      <c r="B29" s="130" t="s">
        <v>69</v>
      </c>
      <c r="C29" s="131"/>
      <c r="D29" s="131"/>
      <c r="E29" s="131"/>
      <c r="F29" s="132"/>
      <c r="G29" s="58">
        <f>(G23+G24-G25)*(1+'Fane 13. Nøgletal'!C13)</f>
        <v>22993104.027995512</v>
      </c>
      <c r="H29" s="14" t="s">
        <v>3</v>
      </c>
      <c r="I29" s="1"/>
    </row>
    <row r="30" spans="1:9" x14ac:dyDescent="0.25">
      <c r="A30" s="1"/>
      <c r="B30" s="130" t="s">
        <v>123</v>
      </c>
      <c r="C30" s="131"/>
      <c r="D30" s="131"/>
      <c r="E30" s="131"/>
      <c r="F30" s="132"/>
      <c r="G30" s="58">
        <v>2334087.2098832401</v>
      </c>
      <c r="H30" s="14" t="s">
        <v>3</v>
      </c>
      <c r="I30" s="1"/>
    </row>
    <row r="31" spans="1:9" x14ac:dyDescent="0.25">
      <c r="A31" s="1"/>
      <c r="B31" s="130" t="s">
        <v>131</v>
      </c>
      <c r="C31" s="131"/>
      <c r="D31" s="131"/>
      <c r="E31" s="131"/>
      <c r="F31" s="132"/>
      <c r="G31" s="58">
        <f>(G29+G30)*'Fane 13. Nøgletal'!C24</f>
        <v>696497.7590416657</v>
      </c>
      <c r="H31" s="14" t="s">
        <v>3</v>
      </c>
      <c r="I31" s="1"/>
    </row>
    <row r="32" spans="1:9" x14ac:dyDescent="0.25">
      <c r="A32" s="1"/>
      <c r="B32" s="71"/>
      <c r="C32" s="72"/>
      <c r="D32" s="72"/>
      <c r="E32" s="72"/>
      <c r="F32" s="72"/>
      <c r="G32" s="61"/>
      <c r="H32" s="19"/>
      <c r="I32" s="1"/>
    </row>
    <row r="33" spans="1:9" x14ac:dyDescent="0.25">
      <c r="A33" s="1"/>
      <c r="B33" s="1"/>
      <c r="C33" s="1"/>
      <c r="D33" s="1"/>
      <c r="E33" s="1"/>
      <c r="F33" s="1"/>
      <c r="G33" s="62"/>
      <c r="H33" s="1"/>
      <c r="I33" s="1"/>
    </row>
    <row r="34" spans="1:9" x14ac:dyDescent="0.25">
      <c r="A34" s="1"/>
      <c r="B34" s="127" t="s">
        <v>135</v>
      </c>
      <c r="C34" s="128"/>
      <c r="D34" s="128"/>
      <c r="E34" s="128"/>
      <c r="F34" s="128"/>
      <c r="G34" s="133"/>
      <c r="H34" s="129"/>
      <c r="I34" s="1"/>
    </row>
    <row r="35" spans="1:9" x14ac:dyDescent="0.25">
      <c r="A35" s="1"/>
      <c r="B35" s="130" t="s">
        <v>72</v>
      </c>
      <c r="C35" s="131"/>
      <c r="D35" s="131"/>
      <c r="E35" s="131"/>
      <c r="F35" s="132"/>
      <c r="G35" s="58">
        <f>(G29+G30-G31)*(1+'Fane 13. Nøgletal'!C13)</f>
        <v>24931187.939278897</v>
      </c>
      <c r="H35" s="14" t="s">
        <v>3</v>
      </c>
      <c r="I35" s="1"/>
    </row>
    <row r="36" spans="1:9" x14ac:dyDescent="0.25">
      <c r="A36" s="1"/>
      <c r="B36" s="130" t="s">
        <v>141</v>
      </c>
      <c r="C36" s="131"/>
      <c r="D36" s="131"/>
      <c r="E36" s="131"/>
      <c r="F36" s="132"/>
      <c r="G36" s="58">
        <f>SUM('Fane 3. Omkostninger i ØR2022'!E11)*(1+'Fane 13. Nøgletal'!C14)</f>
        <v>3933239.4444731204</v>
      </c>
      <c r="H36" s="14" t="s">
        <v>3</v>
      </c>
      <c r="I36" s="1"/>
    </row>
    <row r="37" spans="1:9" x14ac:dyDescent="0.25">
      <c r="A37" s="1"/>
      <c r="B37" s="130" t="s">
        <v>136</v>
      </c>
      <c r="C37" s="131"/>
      <c r="D37" s="131"/>
      <c r="E37" s="131"/>
      <c r="F37" s="132"/>
      <c r="G37" s="58">
        <f>G35*'Fane 13. Nøgletal'!C24+G36*'Fane 13. Nøgletal'!C25</f>
        <v>743819.6121083718</v>
      </c>
      <c r="H37" s="14" t="s">
        <v>3</v>
      </c>
      <c r="I37" s="1"/>
    </row>
    <row r="38" spans="1:9" x14ac:dyDescent="0.25">
      <c r="A38" s="1"/>
      <c r="B38" s="71"/>
      <c r="C38" s="72"/>
      <c r="D38" s="72"/>
      <c r="E38" s="72"/>
      <c r="F38" s="72"/>
      <c r="G38" s="61"/>
      <c r="H38" s="19"/>
      <c r="I38" s="1"/>
    </row>
    <row r="39" spans="1:9" x14ac:dyDescent="0.25">
      <c r="A39" s="1"/>
      <c r="B39" s="1"/>
      <c r="C39" s="1"/>
      <c r="D39" s="1"/>
      <c r="E39" s="1"/>
      <c r="F39" s="1"/>
      <c r="G39" s="62"/>
      <c r="H39" s="1"/>
      <c r="I39" s="1"/>
    </row>
    <row r="40" spans="1:9" x14ac:dyDescent="0.25">
      <c r="A40" s="1"/>
      <c r="B40" s="127" t="s">
        <v>200</v>
      </c>
      <c r="C40" s="128"/>
      <c r="D40" s="128"/>
      <c r="E40" s="128"/>
      <c r="F40" s="128"/>
      <c r="G40" s="133"/>
      <c r="H40" s="129"/>
      <c r="I40" s="1"/>
    </row>
    <row r="41" spans="1:9" x14ac:dyDescent="0.25">
      <c r="A41" s="1"/>
      <c r="B41" s="130" t="s">
        <v>71</v>
      </c>
      <c r="C41" s="131"/>
      <c r="D41" s="131"/>
      <c r="E41" s="131"/>
      <c r="F41" s="132"/>
      <c r="G41" s="58">
        <f>(G35+G36-G37)*(1+'Fane 13. Nøgletal'!C15)</f>
        <v>29121701.408314161</v>
      </c>
      <c r="H41" s="14" t="s">
        <v>3</v>
      </c>
      <c r="I41" s="1"/>
    </row>
    <row r="42" spans="1:9" x14ac:dyDescent="0.25">
      <c r="A42" s="1"/>
      <c r="B42" s="130" t="s">
        <v>211</v>
      </c>
      <c r="C42" s="131"/>
      <c r="D42" s="131"/>
      <c r="E42" s="131"/>
      <c r="F42" s="132"/>
      <c r="G42" s="63">
        <f>SUM('Fane 2.1. Økonomisk ramme 2023'!C10+'Fane 2.1. Økonomisk ramme 2023'!C12+'Fane 2.1. Økonomisk ramme 2023'!C14)*(1+'Fane 13. Nøgletal'!C15)</f>
        <v>255336.24647088005</v>
      </c>
      <c r="H42" s="14" t="s">
        <v>3</v>
      </c>
      <c r="I42" s="1"/>
    </row>
    <row r="43" spans="1:9" x14ac:dyDescent="0.25">
      <c r="A43" s="1"/>
      <c r="B43" s="130" t="s">
        <v>70</v>
      </c>
      <c r="C43" s="131"/>
      <c r="D43" s="131"/>
      <c r="E43" s="131"/>
      <c r="F43" s="132"/>
      <c r="G43" s="58">
        <f>(G41+G42)*'Fane 13. Nøgletal'!C26</f>
        <v>0</v>
      </c>
      <c r="H43" s="14" t="s">
        <v>3</v>
      </c>
      <c r="I43" s="1"/>
    </row>
    <row r="44" spans="1:9" x14ac:dyDescent="0.25">
      <c r="A44" s="1"/>
      <c r="B44" s="71"/>
      <c r="C44" s="72"/>
      <c r="D44" s="72"/>
      <c r="E44" s="72"/>
      <c r="F44" s="72"/>
      <c r="G44" s="61"/>
      <c r="H44" s="19"/>
      <c r="I44" s="1"/>
    </row>
    <row r="45" spans="1:9" ht="12" customHeight="1" x14ac:dyDescent="0.25">
      <c r="A45" s="1"/>
      <c r="B45" s="1"/>
      <c r="C45" s="1"/>
      <c r="D45" s="1"/>
      <c r="E45" s="1"/>
      <c r="F45" s="1"/>
      <c r="G45" s="62"/>
      <c r="H45" s="1"/>
      <c r="I45" s="1"/>
    </row>
    <row r="46" spans="1:9" x14ac:dyDescent="0.25">
      <c r="A46" s="1"/>
      <c r="B46" s="127" t="s">
        <v>201</v>
      </c>
      <c r="C46" s="128"/>
      <c r="D46" s="128"/>
      <c r="E46" s="128"/>
      <c r="F46" s="128"/>
      <c r="G46" s="133"/>
      <c r="H46" s="129"/>
      <c r="I46" s="1"/>
    </row>
    <row r="47" spans="1:9" x14ac:dyDescent="0.25">
      <c r="A47" s="1"/>
      <c r="B47" s="130" t="s">
        <v>124</v>
      </c>
      <c r="C47" s="131"/>
      <c r="D47" s="131"/>
      <c r="E47" s="131"/>
      <c r="F47" s="132"/>
      <c r="G47" s="58">
        <f>(G41+G42-G43)*(1+'Fane 13. Nøgletal'!C15)</f>
        <v>30422860.19529539</v>
      </c>
      <c r="H47" s="14" t="s">
        <v>3</v>
      </c>
      <c r="I47" s="1"/>
    </row>
    <row r="48" spans="1:9" x14ac:dyDescent="0.25">
      <c r="A48" s="1"/>
      <c r="B48" s="130" t="s">
        <v>125</v>
      </c>
      <c r="C48" s="131"/>
      <c r="D48" s="131"/>
      <c r="E48" s="131"/>
      <c r="F48" s="132"/>
      <c r="G48" s="58">
        <f>(G47)*'Fane 13. Nøgletal'!C26</f>
        <v>0</v>
      </c>
      <c r="H48" s="14" t="s">
        <v>3</v>
      </c>
      <c r="I48" s="1"/>
    </row>
    <row r="49" spans="1:9" x14ac:dyDescent="0.25">
      <c r="A49" s="1"/>
      <c r="B49" s="71"/>
      <c r="C49" s="72"/>
      <c r="D49" s="72"/>
      <c r="E49" s="72"/>
      <c r="F49" s="72"/>
      <c r="G49" s="61"/>
      <c r="H49" s="19"/>
      <c r="I49" s="1"/>
    </row>
    <row r="50" spans="1:9" x14ac:dyDescent="0.25">
      <c r="A50" s="1"/>
      <c r="B50" s="1"/>
      <c r="C50" s="1"/>
      <c r="D50" s="1"/>
      <c r="E50" s="1"/>
      <c r="F50" s="1"/>
      <c r="G50" s="62"/>
      <c r="H50" s="1"/>
      <c r="I50" s="1"/>
    </row>
    <row r="51" spans="1:9" x14ac:dyDescent="0.25">
      <c r="A51" s="1"/>
      <c r="B51" s="127" t="s">
        <v>142</v>
      </c>
      <c r="C51" s="128"/>
      <c r="D51" s="128"/>
      <c r="E51" s="128"/>
      <c r="F51" s="128"/>
      <c r="G51" s="133"/>
      <c r="H51" s="129"/>
      <c r="I51" s="1"/>
    </row>
    <row r="52" spans="1:9" x14ac:dyDescent="0.25">
      <c r="A52" s="1"/>
      <c r="B52" s="130" t="s">
        <v>143</v>
      </c>
      <c r="C52" s="131"/>
      <c r="D52" s="131"/>
      <c r="E52" s="131"/>
      <c r="F52" s="132"/>
      <c r="G52" s="58">
        <f>(G47-G48)*(1+'Fane 13. Nøgletal'!C15)</f>
        <v>31505914.018247906</v>
      </c>
      <c r="H52" s="14" t="s">
        <v>3</v>
      </c>
      <c r="I52" s="1"/>
    </row>
    <row r="53" spans="1:9" x14ac:dyDescent="0.25">
      <c r="A53" s="1"/>
      <c r="B53" s="130" t="s">
        <v>144</v>
      </c>
      <c r="C53" s="131"/>
      <c r="D53" s="131"/>
      <c r="E53" s="131"/>
      <c r="F53" s="132"/>
      <c r="G53" s="58">
        <f>(G52)*'Fane 13. Nøgletal'!C26</f>
        <v>0</v>
      </c>
      <c r="H53" s="14" t="s">
        <v>3</v>
      </c>
      <c r="I53" s="1"/>
    </row>
    <row r="54" spans="1:9" x14ac:dyDescent="0.25">
      <c r="A54" s="1"/>
      <c r="B54" s="71"/>
      <c r="C54" s="72"/>
      <c r="D54" s="72"/>
      <c r="E54" s="72"/>
      <c r="F54" s="72"/>
      <c r="G54" s="61"/>
      <c r="H54" s="19"/>
      <c r="I54" s="1"/>
    </row>
    <row r="55" spans="1:9" x14ac:dyDescent="0.25">
      <c r="A55" s="1"/>
      <c r="B55" s="1"/>
      <c r="C55" s="1"/>
      <c r="D55" s="1"/>
      <c r="E55" s="1"/>
      <c r="F55" s="1"/>
      <c r="G55" s="62"/>
      <c r="H55" s="1"/>
      <c r="I55" s="1"/>
    </row>
    <row r="56" spans="1:9" x14ac:dyDescent="0.25">
      <c r="A56" s="1"/>
      <c r="B56" s="127" t="s">
        <v>177</v>
      </c>
      <c r="C56" s="128"/>
      <c r="D56" s="128"/>
      <c r="E56" s="128"/>
      <c r="F56" s="128"/>
      <c r="G56" s="133"/>
      <c r="H56" s="129"/>
      <c r="I56" s="1"/>
    </row>
    <row r="57" spans="1:9" x14ac:dyDescent="0.25">
      <c r="A57" s="1"/>
      <c r="B57" s="130" t="s">
        <v>178</v>
      </c>
      <c r="C57" s="131"/>
      <c r="D57" s="131"/>
      <c r="E57" s="131"/>
      <c r="F57" s="132"/>
      <c r="G57" s="58">
        <f>(G52-G53)*(1+'Fane 13. Nøgletal'!C15)</f>
        <v>32627524.557297535</v>
      </c>
      <c r="H57" s="14" t="s">
        <v>3</v>
      </c>
      <c r="I57" s="1"/>
    </row>
    <row r="58" spans="1:9" x14ac:dyDescent="0.25">
      <c r="A58" s="1"/>
      <c r="B58" s="130" t="s">
        <v>179</v>
      </c>
      <c r="C58" s="131"/>
      <c r="D58" s="131"/>
      <c r="E58" s="131"/>
      <c r="F58" s="132"/>
      <c r="G58" s="58">
        <f>(G57)*'Fane 13. Nøgletal'!C26</f>
        <v>0</v>
      </c>
      <c r="H58" s="14" t="s">
        <v>3</v>
      </c>
      <c r="I58" s="1"/>
    </row>
    <row r="59" spans="1:9" x14ac:dyDescent="0.25">
      <c r="A59" s="1"/>
      <c r="B59" s="71"/>
      <c r="C59" s="72"/>
      <c r="D59" s="72"/>
      <c r="E59" s="72"/>
      <c r="F59" s="72"/>
      <c r="G59" s="72"/>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sheetData>
  <sheetProtection algorithmName="SHA-512" hashValue="3VVB/jmPZuCvSxuno4nlojiw7Aa3GHsAvzZ6VxtLd6kSrT8ToALsmzvX4JZDJK6DsEi61fWM+NXL4auBcXNM/g==" saltValue="Q4rwZuc+6nhoFaKIpamONg=="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4" t="s">
        <v>82</v>
      </c>
      <c r="C3" s="104"/>
      <c r="D3" s="104"/>
      <c r="E3" s="104"/>
      <c r="F3" s="104"/>
      <c r="G3" s="104"/>
      <c r="H3" s="1"/>
    </row>
    <row r="4" spans="1:8" ht="15" customHeight="1" x14ac:dyDescent="0.25">
      <c r="A4" s="1"/>
      <c r="B4" s="104"/>
      <c r="C4" s="104"/>
      <c r="D4" s="104"/>
      <c r="E4" s="104"/>
      <c r="F4" s="104"/>
      <c r="G4" s="10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9</v>
      </c>
      <c r="C8" s="128"/>
      <c r="D8" s="128"/>
      <c r="E8" s="128"/>
      <c r="F8" s="128"/>
      <c r="G8" s="129"/>
      <c r="H8" s="1"/>
    </row>
    <row r="9" spans="1:8" x14ac:dyDescent="0.25">
      <c r="A9" s="1"/>
      <c r="B9" s="82" t="s">
        <v>180</v>
      </c>
      <c r="C9" s="83"/>
      <c r="D9" s="83"/>
      <c r="E9" s="83"/>
      <c r="F9" s="84"/>
      <c r="G9" s="28">
        <v>0.02</v>
      </c>
      <c r="H9" s="1"/>
    </row>
    <row r="10" spans="1:8" x14ac:dyDescent="0.25">
      <c r="A10" s="1"/>
      <c r="B10" s="71"/>
      <c r="C10" s="72"/>
      <c r="D10" s="72"/>
      <c r="E10" s="72"/>
      <c r="F10" s="72"/>
      <c r="G10" s="72"/>
      <c r="H10" s="1"/>
    </row>
    <row r="11" spans="1:8" x14ac:dyDescent="0.25">
      <c r="A11" s="1"/>
      <c r="B11" s="1"/>
      <c r="C11" s="1"/>
      <c r="D11" s="1"/>
      <c r="E11" s="1"/>
      <c r="F11" s="1"/>
      <c r="G11" s="1"/>
      <c r="H11" s="1"/>
    </row>
    <row r="12" spans="1:8" ht="31.5" customHeight="1" x14ac:dyDescent="0.25">
      <c r="A12" s="1"/>
      <c r="B12" s="140" t="s">
        <v>202</v>
      </c>
      <c r="C12" s="140"/>
      <c r="D12" s="140"/>
      <c r="E12" s="140"/>
      <c r="F12" s="140"/>
      <c r="G12" s="140"/>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FZm8Np2q5vdx32vvTdlrcEC0vutTtH44UbI97wFmgE3oLcdidPilaGE/NDYFN5rXVtGeMoOwOlNbn+4ZLquxoQ==" saltValue="bMDgmeYSEs5YrJbnypy5vg=="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2022-12-01T09:30:18Z</dcterms:modified>
</cp:coreProperties>
</file>