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K Vand AS (V16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5" i="19" l="1"/>
  <c r="E31" i="32" l="1"/>
  <c r="E16" i="27" l="1"/>
  <c r="E10" i="11" l="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11" i="11"/>
  <c r="C10" i="37" s="1"/>
  <c r="C13" i="37" s="1"/>
  <c r="G11" i="11"/>
  <c r="C14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3" i="37" s="1"/>
  <c r="G35" i="30" l="1"/>
  <c r="G37" i="30" s="1"/>
  <c r="C18" i="2"/>
  <c r="E14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<sst xmlns="http://schemas.openxmlformats.org/spreadsheetml/2006/main" count="595" uniqueCount="249">
  <si>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</si>
  <si>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</si>
  <si>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</si>
  <si>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</si>
  <si>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</si>
  <si>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</si>
  <si>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</si>
  <si>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</si>
  <si>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</si>
  <si>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</si>
  <si>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</si>
  <si>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</si>
  <si>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</si>
  <si>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</si>
  <si>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</si>
  <si>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</si>
  <si>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</si>
  <si>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</si>
  <si>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</si>
  <si>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</si>
  <si>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</si>
  <si>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</si>
  <si>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</si>
  <si>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</si>
  <si>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</si>
  <si>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</si>
  <si>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</si>
  <si>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</si>
  <si>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</si>
  <si>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</si>
  <si>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</si>
  <si>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</si>
  <si>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</si>
  <si>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</si>
  <si>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</si>
  <si>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</si>
  <si>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</si>
  <si>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</si>
  <si>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</si>
  <si>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</si>
  <si>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</si>
  <si>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</si>
  <si>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</si>
  <si>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</si>
  <si>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</si>
  <si>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</si>
  <si>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</si>
  <si>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</si>
  <si>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</si>
  <si>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</si>
  <si>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</si>
  <si>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</si>
  <si>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</si>
  <si>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</si>
  <si>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</si>
  <si>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</si>
  <si>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</si>
  <si>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</si>
  <si>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</si>
  <si>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</si>
  <si>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</si>
  <si>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</si>
  <si>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</si>
  <si>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</si>
  <si>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</si>
  <si>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</si>
  <si>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</si>
  <si>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</si>
  <si>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</si>
  <si>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</si>
  <si>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</si>
  <si>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</si>
  <si>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</si>
  <si>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</si>
  <si>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</si>
  <si>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</si>
  <si>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</si>
  <si>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</si>
  <si>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</si>
  <si>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</si>
  <si>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</si>
  <si>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</si>
  <si>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</si>
  <si>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</si>
  <si>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</si>
  <si>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</si>
  <si>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</si>
  <si>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</si>
  <si>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</si>
  <si>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</si>
  <si>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</si>
  <si>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</si>
  <si>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</si>
  <si>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</si>
  <si>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</si>
  <si>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</si>
  <si>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</si>
  <si>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</si>
  <si>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</si>
  <si>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</si>
  <si>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</si>
  <si>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</si>
  <si>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</si>
  <si>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</si>
  <si>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</si>
  <si>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</si>
  <si>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</si>
  <si>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</si>
  <si>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</si>
  <si>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</si>
  <si>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</si>
  <si>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</si>
  <si>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</si>
  <si>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</si>
  <si>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</si>
  <si>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</si>
  <si>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</si>
  <si>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</si>
  <si>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</si>
  <si>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</si>
  <si>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</si>
  <si>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</si>
  <si>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</si>
  <si>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</si>
  <si>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</si>
  <si>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</si>
  <si>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</si>
  <si>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</si>
  <si>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</si>
  <si>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</si>
  <si>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</si>
  <si>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</si>
  <si>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</si>
  <si>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</si>
  <si>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</si>
  <si>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</si>
  <si>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</si>
  <si>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</si>
  <si>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</si>
  <si>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</si>
  <si>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</si>
  <si>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</si>
  <si>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</si>
  <si>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</si>
  <si>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</si>
  <si>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</si>
  <si>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</si>
  <si>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</si>
  <si>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</si>
  <si>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</si>
  <si>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</si>
  <si>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</si>
  <si>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</si>
  <si>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</si>
  <si>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</si>
  <si>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</si>
  <si>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</si>
  <si>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</si>
  <si>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</si>
  <si>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</si>
  <si>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</si>
  <si>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</si>
  <si>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</si>
  <si>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</si>
  <si>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</si>
  <si>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</si>
  <si>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</si>
  <si>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</si>
  <si>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</si>
  <si>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</si>
  <si>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</si>
  <si>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</si>
  <si>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</si>
  <si>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</si>
  <si>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</si>
  <si>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</si>
  <si>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</si>
  <si>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</si>
  <si>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</si>
  <si>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</si>
  <si>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</si>
  <si>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</si>
  <si>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</si>
  <si>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</si>
  <si>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</si>
  <si>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</si>
  <si>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</si>
  <si>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</si>
  <si>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</si>
  <si>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</si>
  <si>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</si>
  <si>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</si>
  <si>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</si>
  <si>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</si>
  <si>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</si>
  <si>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</si>
  <si>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</si>
  <si>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</si>
  <si>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</si>
  <si>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</si>
  <si>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</si>
  <si>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</si>
  <si>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</si>
  <si>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</si>
  <si>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</si>
  <si>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</si>
  <si>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</si>
  <si>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</si>
  <si>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</si>
  <si>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</si>
  <si>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</si>
  <si>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</si>
  <si>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</si>
  <si>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</si>
  <si>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</si>
  <si>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</si>
  <si>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</si>
  <si>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</si>
  <si>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</si>
  <si>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</si>
  <si>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</si>
  <si>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</si>
  <si>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</si>
  <si>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</si>
  <si>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</si>
  <si>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</si>
  <si>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</si>
  <si>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</si>
  <si>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</si>
  <si>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</si>
  <si>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</si>
  <si>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</si>
  <si>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</si>
  <si>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</si>
  <si>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</si>
  <si>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</si>
  <si>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</si>
  <si>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Tjenestemandspensioner</t>
  </si>
  <si>
    <t>Undersøgelsesudgifter i forbindelse med fusion</t>
  </si>
  <si>
    <t>Ingen tilknyttet virksomhed</t>
  </si>
  <si>
    <t>Ingen bortfald eller nedsættelse</t>
  </si>
  <si>
    <t xml:space="preserve">Udvidelse af forsyningsområde </t>
  </si>
  <si>
    <t>Fornyelse af indvindingstilladelser</t>
  </si>
  <si>
    <t>Ingen engangstillæg</t>
  </si>
  <si>
    <t>Afregningsmålere, elektroniske, maksimal gennemstrømning ≤ 4 m3/t</t>
  </si>
  <si>
    <t>10</t>
  </si>
  <si>
    <t>Yderligere opkrævningsret efter § 17, stk. 10 - 2017</t>
  </si>
  <si>
    <t>Yderligere opkrævningsret efter § 17, stk. 10 - 2018</t>
  </si>
  <si>
    <t>Økonomisk ramme for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</si>
</sst>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4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5">
      <c r="A8" s="1"/>
      <c r="B8" s="1"/>
      <c r="C8" s="4"/>
      <c r="D8" s="68" t="s">
        <v>206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3" t="s">
        <v>151</v>
      </c>
      <c r="E13" s="64"/>
      <c r="F13" s="64"/>
      <c r="G13" s="65"/>
      <c r="H13" s="1"/>
      <c r="I13" s="1"/>
    </row>
    <row r="14" spans="1:9" x14ac:dyDescent="0.45">
      <c r="A14" s="1"/>
      <c r="B14" s="1"/>
      <c r="C14" s="6" t="s">
        <v>15</v>
      </c>
      <c r="D14" s="63" t="s">
        <v>207</v>
      </c>
      <c r="E14" s="64"/>
      <c r="F14" s="64"/>
      <c r="G14" s="65"/>
      <c r="H14" s="1"/>
      <c r="I14" s="1"/>
    </row>
    <row r="15" spans="1:9" x14ac:dyDescent="0.45">
      <c r="A15" s="1"/>
      <c r="B15" s="1"/>
      <c r="C15" s="6" t="s">
        <v>40</v>
      </c>
      <c r="D15" s="63" t="s">
        <v>93</v>
      </c>
      <c r="E15" s="64"/>
      <c r="F15" s="64"/>
      <c r="G15" s="65"/>
      <c r="H15" s="1"/>
      <c r="I15" s="1"/>
    </row>
    <row r="16" spans="1:9" x14ac:dyDescent="0.45">
      <c r="A16" s="1"/>
      <c r="B16" s="1"/>
      <c r="C16" s="6" t="s">
        <v>41</v>
      </c>
      <c r="D16" s="63" t="s">
        <v>152</v>
      </c>
      <c r="E16" s="64"/>
      <c r="F16" s="64"/>
      <c r="G16" s="65"/>
      <c r="H16" s="1"/>
      <c r="I16" s="1"/>
    </row>
    <row r="17" spans="1:9" x14ac:dyDescent="0.45">
      <c r="A17" s="1"/>
      <c r="B17" s="1"/>
      <c r="C17" s="6" t="s">
        <v>150</v>
      </c>
      <c r="D17" s="63" t="s">
        <v>153</v>
      </c>
      <c r="E17" s="64"/>
      <c r="F17" s="64"/>
      <c r="G17" s="65"/>
      <c r="H17" s="1"/>
      <c r="I17" s="1"/>
    </row>
    <row r="18" spans="1:9" x14ac:dyDescent="0.45">
      <c r="A18" s="1"/>
      <c r="B18" s="1"/>
      <c r="C18" s="33" t="s">
        <v>134</v>
      </c>
      <c r="D18" s="69" t="s">
        <v>114</v>
      </c>
      <c r="E18" s="70"/>
      <c r="F18" s="70"/>
      <c r="G18" s="71"/>
      <c r="H18" s="1"/>
      <c r="I18" s="1"/>
    </row>
    <row r="19" spans="1:9" x14ac:dyDescent="0.45">
      <c r="A19" s="1"/>
      <c r="B19" s="1"/>
      <c r="C19" s="33" t="s">
        <v>135</v>
      </c>
      <c r="D19" s="69" t="s">
        <v>115</v>
      </c>
      <c r="E19" s="70"/>
      <c r="F19" s="70"/>
      <c r="G19" s="71"/>
      <c r="H19" s="1"/>
      <c r="I19" s="1"/>
    </row>
    <row r="20" spans="1:9" x14ac:dyDescent="0.45">
      <c r="A20" s="1"/>
      <c r="B20" s="1"/>
      <c r="C20" s="33" t="s">
        <v>7</v>
      </c>
      <c r="D20" s="69" t="s">
        <v>9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136</v>
      </c>
      <c r="D21" s="60" t="s">
        <v>12</v>
      </c>
      <c r="E21" s="61"/>
      <c r="F21" s="61"/>
      <c r="G21" s="62"/>
      <c r="H21" s="1"/>
      <c r="I21" s="1"/>
    </row>
    <row r="22" spans="1:9" x14ac:dyDescent="0.45">
      <c r="A22" s="1"/>
      <c r="B22" s="1"/>
      <c r="C22" s="6" t="s">
        <v>97</v>
      </c>
      <c r="D22" s="54" t="s">
        <v>154</v>
      </c>
      <c r="E22" s="55"/>
      <c r="F22" s="55"/>
      <c r="G22" s="56"/>
      <c r="H22" s="1"/>
      <c r="I22" s="1"/>
    </row>
    <row r="23" spans="1:9" x14ac:dyDescent="0.45">
      <c r="A23" s="1"/>
      <c r="B23" s="1"/>
      <c r="C23" s="6" t="s">
        <v>8</v>
      </c>
      <c r="D23" s="54" t="s">
        <v>42</v>
      </c>
      <c r="E23" s="55"/>
      <c r="F23" s="55"/>
      <c r="G23" s="56"/>
      <c r="H23" s="1"/>
      <c r="I23" s="1"/>
    </row>
    <row r="24" spans="1:9" x14ac:dyDescent="0.45">
      <c r="A24" s="1"/>
      <c r="B24" s="1"/>
      <c r="C24" s="6" t="s">
        <v>217</v>
      </c>
      <c r="D24" s="54" t="s">
        <v>98</v>
      </c>
      <c r="E24" s="55"/>
      <c r="F24" s="55"/>
      <c r="G24" s="56"/>
      <c r="H24" s="1"/>
      <c r="I24" s="1"/>
    </row>
    <row r="25" spans="1:9" x14ac:dyDescent="0.45">
      <c r="A25" s="1"/>
      <c r="B25" s="1"/>
      <c r="C25" s="6" t="s">
        <v>218</v>
      </c>
      <c r="D25" s="54" t="s">
        <v>99</v>
      </c>
      <c r="E25" s="55"/>
      <c r="F25" s="55"/>
      <c r="G25" s="56"/>
      <c r="H25" s="1"/>
      <c r="I25" s="1"/>
    </row>
    <row r="26" spans="1:9" x14ac:dyDescent="0.45">
      <c r="A26" s="1"/>
      <c r="B26" s="1"/>
      <c r="C26" s="6" t="s">
        <v>219</v>
      </c>
      <c r="D26" s="54" t="s">
        <v>155</v>
      </c>
      <c r="E26" s="55"/>
      <c r="F26" s="55"/>
      <c r="G26" s="56"/>
      <c r="H26" s="1"/>
      <c r="I26" s="1"/>
    </row>
    <row r="27" spans="1:9" x14ac:dyDescent="0.45">
      <c r="A27" s="1"/>
      <c r="B27" s="1"/>
      <c r="C27" s="6" t="s">
        <v>137</v>
      </c>
      <c r="D27" s="54" t="s">
        <v>43</v>
      </c>
      <c r="E27" s="55"/>
      <c r="F27" s="55"/>
      <c r="G27" s="56"/>
      <c r="H27" s="1"/>
      <c r="I27" s="1"/>
    </row>
    <row r="28" spans="1:9" x14ac:dyDescent="0.45">
      <c r="A28" s="1"/>
      <c r="B28" s="1"/>
      <c r="C28" s="6" t="s">
        <v>128</v>
      </c>
      <c r="D28" s="57" t="s">
        <v>129</v>
      </c>
      <c r="E28" s="58"/>
      <c r="F28" s="58"/>
      <c r="G28" s="5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0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8" t="s">
        <v>234</v>
      </c>
      <c r="C10" s="9">
        <v>22212533</v>
      </c>
      <c r="D10" s="14" t="s">
        <v>3</v>
      </c>
      <c r="E10" s="1"/>
      <c r="F10" s="1"/>
    </row>
    <row r="11" spans="1:6" ht="15" customHeight="1" x14ac:dyDescent="0.45">
      <c r="A11" s="1"/>
      <c r="B11" s="48" t="s">
        <v>235</v>
      </c>
      <c r="C11" s="9">
        <v>107815</v>
      </c>
      <c r="D11" s="14" t="s">
        <v>3</v>
      </c>
      <c r="E11" s="1"/>
      <c r="F11" s="1"/>
    </row>
    <row r="12" spans="1:6" x14ac:dyDescent="0.45">
      <c r="A12" s="1"/>
      <c r="B12" s="48" t="s">
        <v>236</v>
      </c>
      <c r="C12" s="9">
        <v>129939</v>
      </c>
      <c r="D12" s="14" t="s">
        <v>3</v>
      </c>
      <c r="E12" s="1"/>
      <c r="F12" s="1"/>
    </row>
    <row r="13" spans="1:6" x14ac:dyDescent="0.45">
      <c r="A13" s="1"/>
      <c r="B13" s="48" t="s">
        <v>237</v>
      </c>
      <c r="C13" s="9">
        <v>43866</v>
      </c>
      <c r="D13" s="14" t="s">
        <v>3</v>
      </c>
      <c r="E13" s="1"/>
      <c r="F13" s="1"/>
    </row>
    <row r="14" spans="1:6" x14ac:dyDescent="0.45">
      <c r="A14" s="1"/>
      <c r="B14" s="48" t="s">
        <v>238</v>
      </c>
      <c r="C14" s="9">
        <v>30000</v>
      </c>
      <c r="D14" s="14" t="s">
        <v>3</v>
      </c>
      <c r="E14" s="1"/>
      <c r="F14" s="1"/>
    </row>
    <row r="15" spans="1:6" x14ac:dyDescent="0.45">
      <c r="A15" s="1"/>
      <c r="B15" s="45" t="s">
        <v>169</v>
      </c>
      <c r="C15" s="12">
        <f>SUM(C10:C14)</f>
        <v>22524153</v>
      </c>
      <c r="D15" s="13" t="s">
        <v>3</v>
      </c>
      <c r="E15" s="1"/>
      <c r="F15" s="1"/>
    </row>
    <row r="16" spans="1:6" x14ac:dyDescent="0.45">
      <c r="A16" s="1"/>
      <c r="B16" s="45" t="s">
        <v>170</v>
      </c>
      <c r="C16" s="12">
        <f>C15*(1+'Fane 12. Nøgletal'!C13)^2</f>
        <v>23077094.828132521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82" t="s">
        <v>172</v>
      </c>
      <c r="C2" s="82"/>
      <c r="D2" s="82"/>
      <c r="E2" s="82"/>
      <c r="F2" s="82"/>
      <c r="G2" s="1"/>
    </row>
    <row r="3" spans="1:7" ht="15" customHeight="1" x14ac:dyDescent="0.45">
      <c r="A3" s="1"/>
      <c r="B3" s="82"/>
      <c r="C3" s="82"/>
      <c r="D3" s="82"/>
      <c r="E3" s="82"/>
      <c r="F3" s="82"/>
      <c r="G3" s="1"/>
    </row>
    <row r="4" spans="1:7" ht="15" customHeight="1" x14ac:dyDescent="0.45">
      <c r="A4" s="1"/>
      <c r="B4" s="95" t="s">
        <v>39</v>
      </c>
      <c r="C4" s="96"/>
      <c r="D4" s="96"/>
      <c r="E4" s="96"/>
      <c r="F4" s="97"/>
      <c r="G4" s="1"/>
    </row>
    <row r="5" spans="1:7" ht="15" customHeight="1" x14ac:dyDescent="0.45">
      <c r="A5" s="1"/>
      <c r="B5" s="98" t="s">
        <v>37</v>
      </c>
      <c r="C5" s="99"/>
      <c r="D5" s="100"/>
      <c r="E5" s="9">
        <v>-2913110.6566666667</v>
      </c>
      <c r="F5" s="14" t="s">
        <v>3</v>
      </c>
      <c r="G5" s="1"/>
    </row>
    <row r="6" spans="1:7" ht="15" customHeight="1" x14ac:dyDescent="0.45">
      <c r="A6" s="1"/>
      <c r="B6" s="98" t="s">
        <v>38</v>
      </c>
      <c r="C6" s="99"/>
      <c r="D6" s="100"/>
      <c r="E6" s="9">
        <v>0</v>
      </c>
      <c r="F6" s="14" t="s">
        <v>3</v>
      </c>
      <c r="G6" s="1"/>
    </row>
    <row r="7" spans="1:7" ht="15" customHeight="1" x14ac:dyDescent="0.45">
      <c r="A7" s="1"/>
      <c r="B7" s="106" t="s">
        <v>131</v>
      </c>
      <c r="C7" s="107"/>
      <c r="D7" s="108"/>
      <c r="E7" s="10">
        <f>SUM(E5:E6)</f>
        <v>-2913110.6566666667</v>
      </c>
      <c r="F7" s="17" t="s">
        <v>3</v>
      </c>
      <c r="G7" s="1"/>
    </row>
    <row r="8" spans="1:7" ht="15" customHeight="1" x14ac:dyDescent="0.45">
      <c r="A8" s="1"/>
      <c r="B8" s="45"/>
      <c r="C8" s="46"/>
      <c r="D8" s="46"/>
      <c r="E8" s="46"/>
      <c r="F8" s="20"/>
      <c r="G8" s="1"/>
    </row>
    <row r="9" spans="1:7" ht="28.5" customHeight="1" x14ac:dyDescent="0.45">
      <c r="A9" s="1"/>
      <c r="B9" s="86" t="s">
        <v>132</v>
      </c>
      <c r="C9" s="87"/>
      <c r="D9" s="87"/>
      <c r="E9" s="87"/>
      <c r="F9" s="88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95" t="s">
        <v>116</v>
      </c>
      <c r="C11" s="96"/>
      <c r="D11" s="96"/>
      <c r="E11" s="96"/>
      <c r="F11" s="97"/>
      <c r="G11" s="1"/>
    </row>
    <row r="12" spans="1:7" x14ac:dyDescent="0.45">
      <c r="A12" s="1"/>
      <c r="B12" s="98" t="s">
        <v>117</v>
      </c>
      <c r="C12" s="99"/>
      <c r="D12" s="100"/>
      <c r="E12" s="9">
        <v>67283042.73841472</v>
      </c>
      <c r="F12" s="14" t="s">
        <v>3</v>
      </c>
      <c r="G12" s="1"/>
    </row>
    <row r="13" spans="1:7" x14ac:dyDescent="0.45">
      <c r="A13" s="1"/>
      <c r="B13" s="98" t="s">
        <v>118</v>
      </c>
      <c r="C13" s="99"/>
      <c r="D13" s="100"/>
      <c r="E13" s="9">
        <v>63655371</v>
      </c>
      <c r="F13" s="14" t="s">
        <v>3</v>
      </c>
      <c r="G13" s="1"/>
    </row>
    <row r="14" spans="1:7" x14ac:dyDescent="0.45">
      <c r="A14" s="1"/>
      <c r="B14" s="98" t="s">
        <v>36</v>
      </c>
      <c r="C14" s="99"/>
      <c r="D14" s="100"/>
      <c r="E14" s="9">
        <v>0</v>
      </c>
      <c r="F14" s="14" t="s">
        <v>3</v>
      </c>
      <c r="G14" s="1"/>
    </row>
    <row r="15" spans="1:7" x14ac:dyDescent="0.45">
      <c r="A15" s="1"/>
      <c r="B15" s="106" t="s">
        <v>208</v>
      </c>
      <c r="C15" s="107"/>
      <c r="D15" s="108"/>
      <c r="E15" s="10">
        <f>E12-(E13-E14)</f>
        <v>3627671.7384147197</v>
      </c>
      <c r="F15" s="17" t="s">
        <v>3</v>
      </c>
      <c r="G15" s="1"/>
    </row>
    <row r="16" spans="1:7" x14ac:dyDescent="0.45">
      <c r="A16" s="1"/>
      <c r="B16" s="45"/>
      <c r="C16" s="46"/>
      <c r="D16" s="46"/>
      <c r="E16" s="46"/>
      <c r="F16" s="20"/>
      <c r="G16" s="1"/>
    </row>
    <row r="17" spans="1:7" ht="30" customHeight="1" x14ac:dyDescent="0.45">
      <c r="A17" s="1"/>
      <c r="B17" s="86" t="s">
        <v>133</v>
      </c>
      <c r="C17" s="87"/>
      <c r="D17" s="87"/>
      <c r="E17" s="87"/>
      <c r="F17" s="88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95" t="s">
        <v>50</v>
      </c>
      <c r="C19" s="96"/>
      <c r="D19" s="96"/>
      <c r="E19" s="96"/>
      <c r="F19" s="97"/>
      <c r="G19" s="1"/>
    </row>
    <row r="20" spans="1:7" x14ac:dyDescent="0.45">
      <c r="A20" s="1"/>
      <c r="B20" s="98" t="s">
        <v>51</v>
      </c>
      <c r="C20" s="99"/>
      <c r="D20" s="100"/>
      <c r="E20" s="9">
        <v>64495187.466279276</v>
      </c>
      <c r="F20" s="14" t="s">
        <v>3</v>
      </c>
      <c r="G20" s="1"/>
    </row>
    <row r="21" spans="1:7" x14ac:dyDescent="0.45">
      <c r="A21" s="1"/>
      <c r="B21" s="98" t="s">
        <v>52</v>
      </c>
      <c r="C21" s="99"/>
      <c r="D21" s="100"/>
      <c r="E21" s="9">
        <v>68639625</v>
      </c>
      <c r="F21" s="14" t="s">
        <v>3</v>
      </c>
      <c r="G21" s="1"/>
    </row>
    <row r="22" spans="1:7" x14ac:dyDescent="0.45">
      <c r="A22" s="1"/>
      <c r="B22" s="98" t="s">
        <v>36</v>
      </c>
      <c r="C22" s="99"/>
      <c r="D22" s="100"/>
      <c r="E22" s="9">
        <v>0</v>
      </c>
      <c r="F22" s="14" t="s">
        <v>3</v>
      </c>
      <c r="G22" s="1"/>
    </row>
    <row r="23" spans="1:7" x14ac:dyDescent="0.45">
      <c r="A23" s="1"/>
      <c r="B23" s="106" t="s">
        <v>209</v>
      </c>
      <c r="C23" s="107"/>
      <c r="D23" s="108"/>
      <c r="E23" s="10">
        <f>E20-(E21-E22)</f>
        <v>-4144437.5337207243</v>
      </c>
      <c r="F23" s="17" t="s">
        <v>3</v>
      </c>
      <c r="G23" s="1"/>
    </row>
    <row r="24" spans="1:7" x14ac:dyDescent="0.45">
      <c r="A24" s="1"/>
      <c r="B24" s="45"/>
      <c r="C24" s="46"/>
      <c r="D24" s="46"/>
      <c r="E24" s="46"/>
      <c r="F24" s="20"/>
      <c r="G24" s="1"/>
    </row>
    <row r="25" spans="1:7" ht="28.5" customHeight="1" x14ac:dyDescent="0.45">
      <c r="A25" s="1"/>
      <c r="B25" s="86" t="s">
        <v>179</v>
      </c>
      <c r="C25" s="87"/>
      <c r="D25" s="87"/>
      <c r="E25" s="87"/>
      <c r="F25" s="88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95" t="s">
        <v>200</v>
      </c>
      <c r="C27" s="96"/>
      <c r="D27" s="96"/>
      <c r="E27" s="96"/>
      <c r="F27" s="97"/>
      <c r="G27" s="1"/>
    </row>
    <row r="28" spans="1:7" x14ac:dyDescent="0.45">
      <c r="A28" s="1"/>
      <c r="B28" s="98" t="s">
        <v>201</v>
      </c>
      <c r="C28" s="99"/>
      <c r="D28" s="100"/>
      <c r="E28" s="9">
        <v>63751953.623137757</v>
      </c>
      <c r="F28" s="14" t="s">
        <v>3</v>
      </c>
      <c r="G28" s="1"/>
    </row>
    <row r="29" spans="1:7" x14ac:dyDescent="0.45">
      <c r="A29" s="1"/>
      <c r="B29" s="98" t="s">
        <v>202</v>
      </c>
      <c r="C29" s="99"/>
      <c r="D29" s="100"/>
      <c r="E29" s="9">
        <v>69248909</v>
      </c>
      <c r="F29" s="14" t="s">
        <v>3</v>
      </c>
      <c r="G29" s="1"/>
    </row>
    <row r="30" spans="1:7" x14ac:dyDescent="0.45">
      <c r="A30" s="1"/>
      <c r="B30" s="98" t="s">
        <v>36</v>
      </c>
      <c r="C30" s="99"/>
      <c r="D30" s="100"/>
      <c r="E30" s="9">
        <v>0</v>
      </c>
      <c r="F30" s="14" t="s">
        <v>3</v>
      </c>
      <c r="G30" s="1"/>
    </row>
    <row r="31" spans="1:7" x14ac:dyDescent="0.45">
      <c r="A31" s="1"/>
      <c r="B31" s="106" t="s">
        <v>210</v>
      </c>
      <c r="C31" s="107"/>
      <c r="D31" s="108"/>
      <c r="E31" s="10">
        <f>E28-(E29-E30)</f>
        <v>-5496955.3768622428</v>
      </c>
      <c r="F31" s="17" t="s">
        <v>3</v>
      </c>
      <c r="G31" s="1"/>
    </row>
    <row r="32" spans="1:7" x14ac:dyDescent="0.45">
      <c r="A32" s="1"/>
      <c r="B32" s="45"/>
      <c r="C32" s="46"/>
      <c r="D32" s="46"/>
      <c r="E32" s="46"/>
      <c r="F32" s="20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95" t="s">
        <v>125</v>
      </c>
      <c r="C34" s="96"/>
      <c r="D34" s="96"/>
      <c r="E34" s="96"/>
      <c r="F34" s="97"/>
      <c r="G34" s="1"/>
    </row>
    <row r="35" spans="1:7" x14ac:dyDescent="0.45">
      <c r="A35" s="1"/>
      <c r="B35" s="109" t="s">
        <v>246</v>
      </c>
      <c r="C35" s="110"/>
      <c r="D35" s="111"/>
      <c r="E35" s="9">
        <v>1</v>
      </c>
      <c r="F35" s="14"/>
      <c r="G35" s="1"/>
    </row>
    <row r="36" spans="1:7" x14ac:dyDescent="0.45">
      <c r="A36" s="1"/>
      <c r="B36" s="109" t="s">
        <v>247</v>
      </c>
      <c r="C36" s="110"/>
      <c r="D36" s="111"/>
      <c r="E36" s="9">
        <v>0</v>
      </c>
      <c r="F36" s="14"/>
      <c r="G36" s="1"/>
    </row>
    <row r="37" spans="1:7" x14ac:dyDescent="0.45">
      <c r="A37" s="1"/>
      <c r="B37" s="109" t="s">
        <v>113</v>
      </c>
      <c r="C37" s="110"/>
      <c r="D37" s="111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-8926831.8288349137</v>
      </c>
      <c r="F37" s="14" t="s">
        <v>3</v>
      </c>
      <c r="G37" s="1"/>
    </row>
    <row r="38" spans="1:7" x14ac:dyDescent="0.45">
      <c r="A38" s="1"/>
      <c r="B38" s="109" t="s">
        <v>130</v>
      </c>
      <c r="C38" s="110"/>
      <c r="D38" s="111"/>
      <c r="E38" s="9">
        <v>2</v>
      </c>
      <c r="F38" s="14" t="s">
        <v>19</v>
      </c>
      <c r="G38" s="1"/>
    </row>
    <row r="39" spans="1:7" ht="15" customHeight="1" x14ac:dyDescent="0.45">
      <c r="A39" s="1"/>
      <c r="B39" s="112" t="s">
        <v>203</v>
      </c>
      <c r="C39" s="112"/>
      <c r="D39" s="112"/>
      <c r="E39" s="10">
        <f>E37/E38</f>
        <v>-4463415.9144174568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37"/>
      <c r="B44" s="37"/>
      <c r="C44" s="37"/>
      <c r="D44" s="37"/>
      <c r="E44" s="37"/>
      <c r="F44" s="37"/>
      <c r="G44" s="37"/>
    </row>
    <row r="45" spans="1:7" x14ac:dyDescent="0.45">
      <c r="A45" s="37"/>
      <c r="B45" s="37"/>
      <c r="C45" s="37"/>
      <c r="D45" s="37"/>
      <c r="E45" s="37"/>
      <c r="F45" s="37"/>
      <c r="G45" s="37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</sheetData>
  <sheetProtection algorithmName="SHA-512" hashValue="Ist7RMKmlBRxQcV39bc0QMl1RkK0pFptpOub7Ts4njZvXEsJ7QVnJtrMbeQYNJjlRo5n6DdiBA+A0/H3vTz/1w==" saltValue="mJI3HAUc9HlQSwiZdg0KPw==" spinCount="100000" sheet="1" objects="1" scenarios="1"/>
  <mergeCells count="30"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2"/>
      <c r="I9" s="1"/>
    </row>
    <row r="10" spans="1:9" ht="39.75" x14ac:dyDescent="0.45">
      <c r="A10" s="1"/>
      <c r="B10" s="51" t="s">
        <v>244</v>
      </c>
      <c r="C10" s="52" t="s">
        <v>245</v>
      </c>
      <c r="D10" s="9">
        <v>16131658</v>
      </c>
      <c r="E10" s="9">
        <f>IFERROR(D10/C10,0)</f>
        <v>1613165.8</v>
      </c>
      <c r="F10" s="9">
        <v>766954</v>
      </c>
      <c r="G10" s="9">
        <v>288757</v>
      </c>
      <c r="H10" s="14" t="s">
        <v>3</v>
      </c>
      <c r="I10" s="1"/>
    </row>
    <row r="11" spans="1:9" x14ac:dyDescent="0.45">
      <c r="A11" s="1"/>
      <c r="B11" s="95" t="s">
        <v>198</v>
      </c>
      <c r="C11" s="96"/>
      <c r="D11" s="97"/>
      <c r="E11" s="12">
        <f>SUM(E10:E10)</f>
        <v>1613165.8</v>
      </c>
      <c r="F11" s="12">
        <f>SUM(F10:F10)</f>
        <v>766954</v>
      </c>
      <c r="G11" s="12">
        <f>SUM(G10:G10)</f>
        <v>288757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94</v>
      </c>
      <c r="C8" s="46"/>
      <c r="D8" s="46"/>
      <c r="E8" s="46"/>
      <c r="F8" s="20"/>
      <c r="G8" s="1"/>
    </row>
    <row r="9" spans="1:7" ht="17.25" customHeight="1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44</v>
      </c>
      <c r="C10" s="22">
        <f>'Fane 8. Anlægsprojekter'!F11</f>
        <v>766954</v>
      </c>
      <c r="D10" s="14" t="s">
        <v>3</v>
      </c>
      <c r="E10" s="9">
        <f>SUM('Fane 8. Anlægsprojekter'!E11,'Fane 8. Anlægsprojekter'!G11)</f>
        <v>1901922.8</v>
      </c>
      <c r="F10" s="14" t="s">
        <v>3</v>
      </c>
      <c r="G10" s="1"/>
    </row>
    <row r="11" spans="1:7" x14ac:dyDescent="0.45">
      <c r="A11" s="1"/>
      <c r="B11" s="53" t="s">
        <v>241</v>
      </c>
      <c r="C11" s="22">
        <v>251979</v>
      </c>
      <c r="D11" s="14" t="s">
        <v>3</v>
      </c>
      <c r="E11" s="9">
        <v>93895</v>
      </c>
      <c r="F11" s="14" t="s">
        <v>3</v>
      </c>
      <c r="G11" s="1"/>
    </row>
    <row r="12" spans="1:7" x14ac:dyDescent="0.45">
      <c r="A12" s="1"/>
      <c r="B12" s="25" t="s">
        <v>242</v>
      </c>
      <c r="C12" s="22">
        <v>35670</v>
      </c>
      <c r="D12" s="14" t="s">
        <v>3</v>
      </c>
      <c r="E12" s="9">
        <v>0</v>
      </c>
      <c r="F12" s="14" t="s">
        <v>3</v>
      </c>
      <c r="G12" s="1"/>
    </row>
    <row r="13" spans="1:7" x14ac:dyDescent="0.45">
      <c r="A13" s="1"/>
      <c r="B13" s="45" t="s">
        <v>48</v>
      </c>
      <c r="C13" s="12">
        <f>SUM(C10:C12)</f>
        <v>1054603</v>
      </c>
      <c r="D13" s="13" t="s">
        <v>3</v>
      </c>
      <c r="E13" s="12">
        <f>SUM(E10:E12)</f>
        <v>1995817.8</v>
      </c>
      <c r="F13" s="13" t="s">
        <v>3</v>
      </c>
      <c r="G13" s="1"/>
    </row>
    <row r="14" spans="1:7" x14ac:dyDescent="0.45">
      <c r="A14" s="1"/>
      <c r="B14" s="45" t="s">
        <v>173</v>
      </c>
      <c r="C14" s="12">
        <f>C13*(1+'Fane 12. Nøgletal'!C13)</f>
        <v>1067469.1566000001</v>
      </c>
      <c r="D14" s="13" t="s">
        <v>3</v>
      </c>
      <c r="E14" s="12">
        <f>E13*(1+'Fane 12. Nøgletal'!C13)</f>
        <v>2020166.7771600001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242</v>
      </c>
      <c r="C10" s="22">
        <v>104849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174</v>
      </c>
      <c r="C11" s="12">
        <f>SUM(C10:C10)</f>
        <v>104849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-689.0304257091052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-2096.98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5" t="s">
        <v>122</v>
      </c>
      <c r="C14" s="12">
        <f>SUM(C11:C13)*(1+'Fane 12. Nøgletal'!C13)^2</f>
        <v>104568.51757527184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3" t="s">
        <v>16</v>
      </c>
      <c r="C17" s="43" t="s">
        <v>11</v>
      </c>
      <c r="D17" s="44"/>
      <c r="E17" s="43" t="s">
        <v>34</v>
      </c>
      <c r="F17" s="42"/>
      <c r="G17" s="1"/>
    </row>
    <row r="18" spans="1:7" x14ac:dyDescent="0.45">
      <c r="A18" s="1"/>
      <c r="B18" s="25" t="s">
        <v>243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5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5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3" t="s">
        <v>16</v>
      </c>
      <c r="C25" s="43" t="s">
        <v>11</v>
      </c>
      <c r="D25" s="44"/>
      <c r="E25" s="43" t="s">
        <v>34</v>
      </c>
      <c r="F25" s="42"/>
      <c r="G25" s="1"/>
    </row>
    <row r="26" spans="1:7" x14ac:dyDescent="0.45">
      <c r="A26" s="1"/>
      <c r="B26" s="25" t="s">
        <v>243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5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5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3" t="s">
        <v>16</v>
      </c>
      <c r="C33" s="43" t="s">
        <v>11</v>
      </c>
      <c r="D33" s="44"/>
      <c r="E33" s="43" t="s">
        <v>34</v>
      </c>
      <c r="F33" s="42"/>
      <c r="G33" s="1"/>
    </row>
    <row r="34" spans="1:7" x14ac:dyDescent="0.45">
      <c r="A34" s="1"/>
      <c r="B34" s="25" t="s">
        <v>243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5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5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PLdpM3vYRmwNJ9wT/Tb7DeFg1/vd0WhEP2qpi2ElSPIkNjQMBcOdLGyf/v+4ddS6OcRCQjpyp6eBYySMFNMuKQ==" saltValue="ohOWiiKb61BjKOOeaIGOF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213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157</v>
      </c>
      <c r="C9" s="92" t="s">
        <v>11</v>
      </c>
      <c r="D9" s="94"/>
      <c r="E9" s="92" t="s">
        <v>34</v>
      </c>
      <c r="F9" s="94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212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34</v>
      </c>
      <c r="F9" s="42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1" t="s">
        <v>17</v>
      </c>
      <c r="C16" s="41" t="s">
        <v>11</v>
      </c>
      <c r="D16" s="42"/>
      <c r="E16" s="41" t="s">
        <v>34</v>
      </c>
      <c r="F16" s="42"/>
      <c r="G16" s="1"/>
    </row>
    <row r="17" spans="1:7" x14ac:dyDescent="0.4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5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5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1" t="s">
        <v>17</v>
      </c>
      <c r="C23" s="41" t="s">
        <v>11</v>
      </c>
      <c r="D23" s="42"/>
      <c r="E23" s="41" t="s">
        <v>34</v>
      </c>
      <c r="F23" s="42"/>
      <c r="G23" s="1"/>
    </row>
    <row r="24" spans="1:7" x14ac:dyDescent="0.4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5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5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1" t="s">
        <v>17</v>
      </c>
      <c r="C30" s="41" t="s">
        <v>11</v>
      </c>
      <c r="D30" s="42"/>
      <c r="E30" s="41" t="s">
        <v>34</v>
      </c>
      <c r="F30" s="42"/>
      <c r="G30" s="1"/>
    </row>
    <row r="31" spans="1:7" x14ac:dyDescent="0.4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5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5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2" t="s">
        <v>211</v>
      </c>
      <c r="C3" s="82"/>
      <c r="D3" s="1"/>
    </row>
    <row r="4" spans="1:4" ht="25.5" customHeight="1" x14ac:dyDescent="0.45">
      <c r="A4" s="1"/>
      <c r="B4" s="82"/>
      <c r="C4" s="8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5" t="s">
        <v>14</v>
      </c>
      <c r="C8" s="20"/>
      <c r="D8" s="1"/>
    </row>
    <row r="9" spans="1:4" x14ac:dyDescent="0.45">
      <c r="A9" s="1"/>
      <c r="B9" s="48" t="s">
        <v>141</v>
      </c>
      <c r="C9" s="26">
        <v>1.2699999999999999E-2</v>
      </c>
      <c r="D9" s="1"/>
    </row>
    <row r="10" spans="1:4" x14ac:dyDescent="0.45">
      <c r="A10" s="1"/>
      <c r="B10" s="48" t="s">
        <v>22</v>
      </c>
      <c r="C10" s="26">
        <v>1.7500000000000002E-2</v>
      </c>
      <c r="D10" s="1"/>
    </row>
    <row r="11" spans="1:4" x14ac:dyDescent="0.45">
      <c r="A11" s="1"/>
      <c r="B11" s="48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5" t="s">
        <v>126</v>
      </c>
      <c r="C17" s="20"/>
      <c r="D17" s="1"/>
    </row>
    <row r="18" spans="1:4" x14ac:dyDescent="0.45">
      <c r="A18" s="1"/>
      <c r="B18" s="48" t="s">
        <v>143</v>
      </c>
      <c r="C18" s="23">
        <v>9.1000000000000004E-3</v>
      </c>
      <c r="D18" s="1"/>
    </row>
    <row r="19" spans="1:4" x14ac:dyDescent="0.45">
      <c r="A19" s="1"/>
      <c r="B19" s="48" t="s">
        <v>144</v>
      </c>
      <c r="C19" s="23">
        <v>1.77E-2</v>
      </c>
      <c r="D19" s="1"/>
    </row>
    <row r="20" spans="1:4" x14ac:dyDescent="0.45">
      <c r="A20" s="1"/>
      <c r="B20" s="48" t="s">
        <v>145</v>
      </c>
      <c r="C20" s="23">
        <v>8.6999999999999994E-3</v>
      </c>
      <c r="D20" s="1"/>
    </row>
    <row r="21" spans="1:4" x14ac:dyDescent="0.45">
      <c r="A21" s="1"/>
      <c r="B21" s="48" t="s">
        <v>146</v>
      </c>
      <c r="C21" s="36">
        <v>2.8400000000000002E-2</v>
      </c>
      <c r="D21" s="1"/>
    </row>
    <row r="22" spans="1:4" x14ac:dyDescent="0.45">
      <c r="A22" s="1"/>
      <c r="B22" s="48" t="s">
        <v>186</v>
      </c>
      <c r="C22" s="36">
        <v>2.75E-2</v>
      </c>
      <c r="D22" s="1"/>
    </row>
    <row r="23" spans="1:4" x14ac:dyDescent="0.45">
      <c r="A23" s="1"/>
      <c r="B23" s="45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5" t="s">
        <v>127</v>
      </c>
      <c r="C26" s="20"/>
      <c r="D26" s="1"/>
    </row>
    <row r="27" spans="1:4" x14ac:dyDescent="0.45">
      <c r="A27" s="1"/>
      <c r="B27" s="48" t="s">
        <v>147</v>
      </c>
      <c r="C27" s="26">
        <v>0.02</v>
      </c>
      <c r="D27" s="1"/>
    </row>
    <row r="28" spans="1:4" x14ac:dyDescent="0.45">
      <c r="A28" s="1"/>
      <c r="B28" s="45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x14ac:dyDescent="0.45">
      <c r="A9" s="1"/>
      <c r="B9" s="47" t="s">
        <v>25</v>
      </c>
      <c r="C9" s="7">
        <f>'Fane 3. Omkostninger i ØR2020'!E20</f>
        <v>43316183.572104588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tillæg'!C14</f>
        <v>1067469.1566000001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tillæg'!E14</f>
        <v>2020166.7771600001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566126.59797154809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-308669.82002174505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-439200.4369277209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-713289.51336677419</v>
      </c>
      <c r="D19" s="8" t="s">
        <v>3</v>
      </c>
      <c r="E19" s="1"/>
    </row>
    <row r="20" spans="1:5" ht="17.100000000000001" customHeight="1" x14ac:dyDescent="0.45">
      <c r="A20" s="1"/>
      <c r="B20" s="49" t="s">
        <v>20</v>
      </c>
      <c r="C20" s="10">
        <f>SUM(C9:C19)</f>
        <v>45508786.333519898</v>
      </c>
      <c r="D20" s="11" t="s">
        <v>3</v>
      </c>
      <c r="E20" s="1"/>
    </row>
    <row r="21" spans="1:5" ht="15" customHeight="1" x14ac:dyDescent="0.45">
      <c r="A21" s="1"/>
      <c r="B21" s="45" t="s">
        <v>12</v>
      </c>
      <c r="C21" s="46"/>
      <c r="D21" s="20"/>
      <c r="E21" s="1"/>
    </row>
    <row r="22" spans="1:5" ht="15" customHeight="1" x14ac:dyDescent="0.45">
      <c r="A22" s="1"/>
      <c r="B22" s="41" t="s">
        <v>12</v>
      </c>
      <c r="C22" s="10">
        <f>'Fane 6. Ikke-påvirkelige omk.'!C16</f>
        <v>23077094.828132521</v>
      </c>
      <c r="D22" s="11" t="s">
        <v>3</v>
      </c>
      <c r="E22" s="1"/>
    </row>
    <row r="23" spans="1:5" ht="15" customHeight="1" x14ac:dyDescent="0.45">
      <c r="A23" s="1"/>
      <c r="B23" s="45" t="s">
        <v>99</v>
      </c>
      <c r="C23" s="46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104568.51757527184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49" t="s">
        <v>100</v>
      </c>
      <c r="C26" s="10">
        <f>SUM(C24:C25)</f>
        <v>104568.51757527184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6"/>
      <c r="D27" s="20"/>
      <c r="E27" s="1"/>
    </row>
    <row r="28" spans="1:5" x14ac:dyDescent="0.45">
      <c r="A28" s="1"/>
      <c r="B28" s="50" t="s">
        <v>205</v>
      </c>
      <c r="C28" s="10">
        <f>'Fane 7. Kontrol af ØR2019'!E39</f>
        <v>-4463415.9144174568</v>
      </c>
      <c r="D28" s="11" t="s">
        <v>3</v>
      </c>
      <c r="E28" s="1"/>
    </row>
    <row r="29" spans="1:5" x14ac:dyDescent="0.45">
      <c r="A29" s="1"/>
      <c r="B29" s="45" t="s">
        <v>31</v>
      </c>
      <c r="C29" s="32">
        <f>SUM(C20,C22,C26,C28)</f>
        <v>64227033.764810234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ht="15" customHeight="1" x14ac:dyDescent="0.45">
      <c r="A9" s="1"/>
      <c r="B9" s="47" t="s">
        <v>26</v>
      </c>
      <c r="C9" s="7">
        <f>'Fane 2.1. Økonomisk ramme 2021'!C20</f>
        <v>45508786.333519898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555207.19326894276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-302716.22113348509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-435667.50861307437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-702136.87518052803</v>
      </c>
      <c r="D15" s="8" t="s">
        <v>3</v>
      </c>
      <c r="E15" s="1"/>
    </row>
    <row r="16" spans="1:5" ht="15" customHeight="1" x14ac:dyDescent="0.45">
      <c r="A16" s="1"/>
      <c r="B16" s="40" t="s">
        <v>20</v>
      </c>
      <c r="C16" s="10">
        <f>SUM(C9:C15)</f>
        <v>44623472.921861753</v>
      </c>
      <c r="D16" s="11" t="s">
        <v>3</v>
      </c>
      <c r="E16" s="1"/>
    </row>
    <row r="17" spans="1:5" x14ac:dyDescent="0.45">
      <c r="A17" s="1"/>
      <c r="B17" s="45" t="s">
        <v>12</v>
      </c>
      <c r="C17" s="46"/>
      <c r="D17" s="20"/>
      <c r="E17" s="1"/>
    </row>
    <row r="18" spans="1:5" ht="15" customHeight="1" x14ac:dyDescent="0.45">
      <c r="A18" s="1"/>
      <c r="B18" s="41" t="s">
        <v>12</v>
      </c>
      <c r="C18" s="10">
        <f>'Fane 6. Ikke-påvirkelige omk.'!C16*(1+'Fane 12. Nøgletal'!C13)</f>
        <v>23358635.385035738</v>
      </c>
      <c r="D18" s="11" t="s">
        <v>3</v>
      </c>
      <c r="E18" s="1"/>
    </row>
    <row r="19" spans="1:5" ht="15" customHeight="1" x14ac:dyDescent="0.45">
      <c r="A19" s="1"/>
      <c r="B19" s="45" t="s">
        <v>99</v>
      </c>
      <c r="C19" s="46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49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6"/>
      <c r="D23" s="20"/>
      <c r="E23" s="1"/>
    </row>
    <row r="24" spans="1:5" ht="15" customHeight="1" x14ac:dyDescent="0.45">
      <c r="A24" s="1"/>
      <c r="B24" s="50" t="s">
        <v>205</v>
      </c>
      <c r="C24" s="10">
        <f>'Fane 7. Kontrol af ØR2019'!E39</f>
        <v>-4463415.9144174568</v>
      </c>
      <c r="D24" s="11" t="s">
        <v>3</v>
      </c>
      <c r="E24" s="1"/>
    </row>
    <row r="25" spans="1:5" x14ac:dyDescent="0.45">
      <c r="A25" s="1"/>
      <c r="B25" s="45" t="s">
        <v>32</v>
      </c>
      <c r="C25" s="12">
        <f>SUM(C16,C18,C22,C24)</f>
        <v>63518692.392480031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7" t="s">
        <v>165</v>
      </c>
      <c r="C8" s="7">
        <f>'Fane 2.2. Økonomisk ramme 2022'!C16</f>
        <v>44623472.921861753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544406.36964671337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-296827.27633649873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-432162.99917379074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-691158.61406864284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43747730.401929535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omk.'!C16*(1+'Fane 12. Nøgletal'!C13)^2</f>
        <v>23643610.736733176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5" t="s">
        <v>109</v>
      </c>
      <c r="C22" s="12">
        <f>SUM(C15,C17,C21)</f>
        <v>67391341.138662711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7" t="s">
        <v>166</v>
      </c>
      <c r="C8" s="7">
        <f>'Fane 2.3. Økonomisk ramme 2023'!C15</f>
        <v>43747730.401929535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533722.31090354035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-291001.99538136733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-428686.68000843673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-680352.0035583725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42881412.033884898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omk.'!C16*(1+'Fane 12. Nøgletal'!C13)^3</f>
        <v>23932062.787721321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5" t="s">
        <v>248</v>
      </c>
      <c r="C22" s="12">
        <f>SUM(C15,C17,C21)</f>
        <v>66813474.821606219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180</v>
      </c>
      <c r="C3" s="82"/>
      <c r="D3" s="82"/>
      <c r="E3" s="82"/>
      <c r="F3" s="82"/>
      <c r="G3" s="1"/>
    </row>
    <row r="4" spans="1:7" ht="29.2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167</v>
      </c>
      <c r="C8" s="46"/>
      <c r="D8" s="46"/>
      <c r="E8" s="46"/>
      <c r="F8" s="20"/>
      <c r="G8" s="1"/>
    </row>
    <row r="9" spans="1:7" x14ac:dyDescent="0.45">
      <c r="A9" s="1"/>
      <c r="B9" s="83" t="s">
        <v>23</v>
      </c>
      <c r="C9" s="84"/>
      <c r="D9" s="85"/>
      <c r="E9" s="7">
        <v>40581800.545566618</v>
      </c>
      <c r="F9" s="8" t="s">
        <v>3</v>
      </c>
      <c r="G9" s="1"/>
    </row>
    <row r="10" spans="1:7" ht="15" customHeight="1" x14ac:dyDescent="0.45">
      <c r="A10" s="1"/>
      <c r="B10" s="74" t="s">
        <v>45</v>
      </c>
      <c r="C10" s="75"/>
      <c r="D10" s="76"/>
      <c r="E10" s="7">
        <v>0</v>
      </c>
      <c r="F10" s="8" t="s">
        <v>3</v>
      </c>
      <c r="G10" s="1"/>
    </row>
    <row r="11" spans="1:7" ht="15" customHeight="1" x14ac:dyDescent="0.45">
      <c r="A11" s="1"/>
      <c r="B11" s="74" t="s">
        <v>46</v>
      </c>
      <c r="C11" s="75"/>
      <c r="D11" s="76"/>
      <c r="E11" s="9">
        <v>2986856.9062200002</v>
      </c>
      <c r="F11" s="8" t="s">
        <v>3</v>
      </c>
      <c r="G11" s="1"/>
    </row>
    <row r="12" spans="1:7" x14ac:dyDescent="0.45">
      <c r="A12" s="1"/>
      <c r="B12" s="74" t="s">
        <v>30</v>
      </c>
      <c r="C12" s="75"/>
      <c r="D12" s="76"/>
      <c r="E12" s="9">
        <v>0</v>
      </c>
      <c r="F12" s="8" t="s">
        <v>3</v>
      </c>
      <c r="G12" s="1"/>
    </row>
    <row r="13" spans="1:7" x14ac:dyDescent="0.45">
      <c r="A13" s="1"/>
      <c r="B13" s="74" t="s">
        <v>29</v>
      </c>
      <c r="C13" s="75"/>
      <c r="D13" s="76"/>
      <c r="E13" s="9">
        <v>0</v>
      </c>
      <c r="F13" s="8" t="s">
        <v>3</v>
      </c>
      <c r="G13" s="1"/>
    </row>
    <row r="14" spans="1:7" x14ac:dyDescent="0.45">
      <c r="A14" s="1"/>
      <c r="B14" s="74" t="s">
        <v>159</v>
      </c>
      <c r="C14" s="75"/>
      <c r="D14" s="76"/>
      <c r="E14" s="9">
        <v>0</v>
      </c>
      <c r="F14" s="8" t="s">
        <v>3</v>
      </c>
      <c r="G14" s="1"/>
    </row>
    <row r="15" spans="1:7" x14ac:dyDescent="0.45">
      <c r="A15" s="1"/>
      <c r="B15" s="74" t="s">
        <v>160</v>
      </c>
      <c r="C15" s="75"/>
      <c r="D15" s="76"/>
      <c r="E15" s="9">
        <v>0</v>
      </c>
      <c r="F15" s="8" t="s">
        <v>3</v>
      </c>
      <c r="G15" s="1"/>
    </row>
    <row r="16" spans="1:7" x14ac:dyDescent="0.45">
      <c r="A16" s="1"/>
      <c r="B16" s="74" t="s">
        <v>18</v>
      </c>
      <c r="C16" s="75"/>
      <c r="D16" s="76"/>
      <c r="E16" s="9">
        <f>E9*'Fane 12. Nøgletal'!C11+SUM(E10:E15)*'Fane 12. Nøgletal'!C12</f>
        <v>744673.51027260988</v>
      </c>
      <c r="F16" s="8" t="s">
        <v>3</v>
      </c>
      <c r="G16" s="1"/>
    </row>
    <row r="17" spans="1:7" x14ac:dyDescent="0.45">
      <c r="A17" s="1"/>
      <c r="B17" s="74" t="s">
        <v>9</v>
      </c>
      <c r="C17" s="75"/>
      <c r="D17" s="76"/>
      <c r="E17" s="9">
        <f>-SUM(E9:E16)*'Fane 5. Individuelt eff. krav'!G9</f>
        <v>-308477.72570492036</v>
      </c>
      <c r="F17" s="8" t="s">
        <v>3</v>
      </c>
      <c r="G17" s="1"/>
    </row>
    <row r="18" spans="1:7" x14ac:dyDescent="0.45">
      <c r="A18" s="1"/>
      <c r="B18" s="74" t="s">
        <v>27</v>
      </c>
      <c r="C18" s="75"/>
      <c r="D18" s="76"/>
      <c r="E18" s="9">
        <f>-'Fane 4.1. Gen. krav - drift'!G25</f>
        <v>-420976.9297443743</v>
      </c>
      <c r="F18" s="8" t="s">
        <v>3</v>
      </c>
      <c r="G18" s="1"/>
    </row>
    <row r="19" spans="1:7" x14ac:dyDescent="0.45">
      <c r="A19" s="1"/>
      <c r="B19" s="74" t="s">
        <v>28</v>
      </c>
      <c r="C19" s="75"/>
      <c r="D19" s="76"/>
      <c r="E19" s="9">
        <f>-'Fane 4.2. Gen. krav - anlæg'!G25</f>
        <v>-267692.73450534325</v>
      </c>
      <c r="F19" s="8" t="s">
        <v>3</v>
      </c>
      <c r="G19" s="1"/>
    </row>
    <row r="20" spans="1:7" x14ac:dyDescent="0.45">
      <c r="A20" s="1"/>
      <c r="B20" s="89" t="s">
        <v>20</v>
      </c>
      <c r="C20" s="90"/>
      <c r="D20" s="91"/>
      <c r="E20" s="10">
        <f>SUM(E9:E19)</f>
        <v>43316183.572104588</v>
      </c>
      <c r="F20" s="11" t="s">
        <v>3</v>
      </c>
      <c r="G20" s="1"/>
    </row>
    <row r="21" spans="1:7" x14ac:dyDescent="0.45">
      <c r="A21" s="1"/>
      <c r="B21" s="77" t="s">
        <v>12</v>
      </c>
      <c r="C21" s="78"/>
      <c r="D21" s="78"/>
      <c r="E21" s="46"/>
      <c r="F21" s="20"/>
      <c r="G21" s="1"/>
    </row>
    <row r="22" spans="1:7" x14ac:dyDescent="0.45">
      <c r="A22" s="1"/>
      <c r="B22" s="79" t="s">
        <v>12</v>
      </c>
      <c r="C22" s="80"/>
      <c r="D22" s="81"/>
      <c r="E22" s="10">
        <v>23599666.840951081</v>
      </c>
      <c r="F22" s="11" t="s">
        <v>3</v>
      </c>
      <c r="G22" s="1"/>
    </row>
    <row r="23" spans="1:7" ht="15" customHeight="1" x14ac:dyDescent="0.45">
      <c r="A23" s="1"/>
      <c r="B23" s="77" t="s">
        <v>99</v>
      </c>
      <c r="C23" s="78"/>
      <c r="D23" s="78"/>
      <c r="E23" s="46"/>
      <c r="F23" s="46"/>
      <c r="G23" s="1"/>
    </row>
    <row r="24" spans="1:7" ht="14.25" customHeight="1" x14ac:dyDescent="0.45">
      <c r="A24" s="1"/>
      <c r="B24" s="86" t="s">
        <v>95</v>
      </c>
      <c r="C24" s="87"/>
      <c r="D24" s="88"/>
      <c r="E24" s="9">
        <v>0</v>
      </c>
      <c r="F24" s="8" t="s">
        <v>3</v>
      </c>
      <c r="G24" s="1"/>
    </row>
    <row r="25" spans="1:7" ht="14.25" customHeight="1" x14ac:dyDescent="0.45">
      <c r="A25" s="1"/>
      <c r="B25" s="86" t="s">
        <v>96</v>
      </c>
      <c r="C25" s="87"/>
      <c r="D25" s="88"/>
      <c r="E25" s="9">
        <v>0</v>
      </c>
      <c r="F25" s="8" t="s">
        <v>3</v>
      </c>
      <c r="G25" s="1"/>
    </row>
    <row r="26" spans="1:7" x14ac:dyDescent="0.45">
      <c r="A26" s="1"/>
      <c r="B26" s="92" t="s">
        <v>100</v>
      </c>
      <c r="C26" s="93"/>
      <c r="D26" s="93"/>
      <c r="E26" s="10">
        <v>0</v>
      </c>
      <c r="F26" s="11" t="s">
        <v>3</v>
      </c>
      <c r="G26" s="1"/>
    </row>
    <row r="27" spans="1:7" ht="14.25" customHeight="1" x14ac:dyDescent="0.45">
      <c r="A27" s="1"/>
      <c r="B27" s="45" t="s">
        <v>228</v>
      </c>
      <c r="C27" s="46"/>
      <c r="D27" s="46"/>
      <c r="E27" s="46"/>
      <c r="F27" s="46"/>
      <c r="G27" s="1"/>
    </row>
    <row r="28" spans="1:7" ht="13.15" customHeight="1" x14ac:dyDescent="0.45">
      <c r="A28" s="1"/>
      <c r="B28" s="92" t="s">
        <v>229</v>
      </c>
      <c r="C28" s="93"/>
      <c r="D28" s="94"/>
      <c r="E28" s="10">
        <v>0</v>
      </c>
      <c r="F28" s="11" t="s">
        <v>3</v>
      </c>
      <c r="G28" s="1"/>
    </row>
    <row r="29" spans="1:7" x14ac:dyDescent="0.45">
      <c r="A29" s="1"/>
      <c r="B29" s="45" t="s">
        <v>230</v>
      </c>
      <c r="C29" s="46"/>
      <c r="D29" s="46"/>
      <c r="E29" s="46"/>
      <c r="F29" s="20"/>
      <c r="G29" s="1"/>
    </row>
    <row r="30" spans="1:7" ht="15" customHeight="1" x14ac:dyDescent="0.45">
      <c r="A30" s="1"/>
      <c r="B30" s="92" t="s">
        <v>231</v>
      </c>
      <c r="C30" s="93"/>
      <c r="D30" s="94"/>
      <c r="E30" s="10">
        <v>0</v>
      </c>
      <c r="F30" s="11" t="s">
        <v>3</v>
      </c>
      <c r="G30" s="1"/>
    </row>
    <row r="31" spans="1:7" x14ac:dyDescent="0.45">
      <c r="A31" s="1"/>
      <c r="B31" s="45" t="s">
        <v>232</v>
      </c>
      <c r="C31" s="46"/>
      <c r="D31" s="46"/>
      <c r="E31" s="46"/>
      <c r="F31" s="20"/>
      <c r="G31" s="1"/>
    </row>
    <row r="32" spans="1:7" x14ac:dyDescent="0.45">
      <c r="A32" s="1"/>
      <c r="B32" s="79" t="s">
        <v>233</v>
      </c>
      <c r="C32" s="80"/>
      <c r="D32" s="81"/>
      <c r="E32" s="10">
        <v>0</v>
      </c>
      <c r="F32" s="11" t="s">
        <v>3</v>
      </c>
      <c r="G32" s="1"/>
    </row>
    <row r="33" spans="1:7" x14ac:dyDescent="0.45">
      <c r="A33" s="1"/>
      <c r="B33" s="45" t="s">
        <v>24</v>
      </c>
      <c r="C33" s="46"/>
      <c r="D33" s="46"/>
      <c r="E33" s="12">
        <f>SUM(E30,E26,E28,E22,E20,E32)</f>
        <v>66915850.413055673</v>
      </c>
      <c r="F33" s="13" t="s">
        <v>3</v>
      </c>
      <c r="G33" s="1"/>
    </row>
    <row r="34" spans="1:7" ht="28.15" customHeight="1" x14ac:dyDescent="0.45">
      <c r="A34" s="1"/>
      <c r="B34" s="86" t="s">
        <v>179</v>
      </c>
      <c r="C34" s="87"/>
      <c r="D34" s="87"/>
      <c r="E34" s="87"/>
      <c r="F34" s="88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22461588.906828538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449231.77813657076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22291914.064226355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445838.2812845271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22215274.463673543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-1093812.3898450055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422429.24147657072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21048846.487218715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420976.9297443743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20879529.566075526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1080492.2803105202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439200.4369277209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21783375.430653717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435667.50861307437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21608149.958689537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432162.99917379074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21434334.000421837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428686.68000843673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20844582.670997187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189685.70230607441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20917214.160193492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190346.6488577608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21077151.572277304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-436791.47363035317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20261.873442339995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179747.41115717683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20827001.341011867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3045697.9872725345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267692.73450534325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23892987.674223162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2044812.8118413521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713289.51336677419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25532250.006564654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702136.87518052803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25133040.511587013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691158.61406864284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24740072.856668092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680352.0035583725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6.961284990492745E-3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6.5716451822058885E-3</v>
      </c>
      <c r="H10" s="14"/>
      <c r="I10" s="1"/>
    </row>
    <row r="11" spans="1:9" x14ac:dyDescent="0.45">
      <c r="A11" s="1"/>
      <c r="B11" s="45"/>
      <c r="C11" s="46"/>
      <c r="D11" s="46"/>
      <c r="E11" s="46"/>
      <c r="F11" s="46"/>
      <c r="G11" s="46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2020-10-20T07:52:34Z</dcterms:modified>
</cp:coreProperties>
</file>