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ordingborg Spildevand AS (S10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G26" i="15" l="1"/>
  <c r="G32" i="2" l="1"/>
  <c r="I28" i="32" l="1"/>
  <c r="I26" i="32"/>
  <c r="E23" i="23" l="1"/>
  <c r="E22" i="23"/>
  <c r="G20" i="23"/>
  <c r="E20" i="23"/>
  <c r="E23" i="22"/>
  <c r="E22" i="22"/>
  <c r="G20" i="22"/>
  <c r="E20" i="22"/>
  <c r="E23" i="15"/>
  <c r="E22" i="15"/>
  <c r="G20" i="15"/>
  <c r="E20" i="15"/>
  <c r="G34" i="2" l="1"/>
  <c r="G9" i="2"/>
  <c r="E34" i="2"/>
  <c r="G30" i="2"/>
  <c r="E30" i="2"/>
  <c r="E27" i="2"/>
  <c r="E28" i="2" s="1"/>
  <c r="E26" i="2"/>
  <c r="G24" i="2"/>
  <c r="E24" i="2"/>
  <c r="E15" i="2"/>
  <c r="E14" i="2"/>
  <c r="E11" i="2"/>
  <c r="E10" i="2"/>
  <c r="E9" i="2"/>
  <c r="G23" i="27"/>
  <c r="I19" i="27"/>
  <c r="G19" i="27"/>
  <c r="I18" i="27"/>
  <c r="G18" i="27"/>
  <c r="G16" i="27"/>
  <c r="G17" i="27" s="1"/>
  <c r="K26" i="30"/>
  <c r="I26" i="30"/>
  <c r="I22" i="30"/>
  <c r="K22" i="30"/>
  <c r="K20" i="30"/>
  <c r="I20" i="30"/>
  <c r="K16" i="30"/>
  <c r="I16" i="30"/>
  <c r="K12" i="30"/>
  <c r="I12" i="30"/>
  <c r="I8" i="30"/>
  <c r="K23" i="36"/>
  <c r="I23" i="36"/>
  <c r="K19" i="36"/>
  <c r="I19" i="36"/>
  <c r="K17" i="36"/>
  <c r="I17" i="36"/>
  <c r="G17" i="36"/>
  <c r="K13" i="36"/>
  <c r="I13" i="36"/>
  <c r="K11" i="36"/>
  <c r="I10" i="36"/>
  <c r="K10" i="36"/>
  <c r="K6" i="36"/>
  <c r="K5" i="36"/>
  <c r="I6" i="36"/>
  <c r="P13" i="19"/>
  <c r="P12" i="19"/>
  <c r="P11" i="19"/>
  <c r="P10" i="19"/>
  <c r="P14" i="19" l="1"/>
  <c r="P15" i="19" s="1"/>
  <c r="G22" i="2" s="1"/>
  <c r="G18" i="22" l="1"/>
  <c r="G18" i="23"/>
  <c r="G18" i="15"/>
  <c r="G29" i="20"/>
  <c r="G28" i="20"/>
  <c r="G23" i="20"/>
  <c r="G22" i="20"/>
  <c r="G17" i="20"/>
  <c r="G16" i="20"/>
  <c r="G11" i="20"/>
  <c r="G10" i="20"/>
  <c r="G22" i="10" l="1"/>
  <c r="G20" i="10"/>
  <c r="M30" i="21"/>
  <c r="K30" i="21"/>
  <c r="M29" i="21"/>
  <c r="K29" i="21"/>
  <c r="M24" i="21"/>
  <c r="K24" i="21"/>
  <c r="M23" i="21"/>
  <c r="K23" i="21"/>
  <c r="M18" i="21"/>
  <c r="K18" i="21"/>
  <c r="M17" i="21"/>
  <c r="K17" i="21"/>
  <c r="M12" i="21"/>
  <c r="E13" i="2" s="1"/>
  <c r="K12" i="21"/>
  <c r="E12" i="2" s="1"/>
  <c r="M11" i="21"/>
  <c r="K11" i="21"/>
  <c r="E18" i="29"/>
  <c r="C18" i="29"/>
  <c r="E17" i="29"/>
  <c r="C17" i="29"/>
  <c r="I22" i="20"/>
  <c r="I23" i="20"/>
  <c r="I21" i="20"/>
  <c r="I28" i="20"/>
  <c r="I29" i="20"/>
  <c r="I27" i="20"/>
  <c r="I30" i="20" s="1"/>
  <c r="G30" i="20"/>
  <c r="G24" i="20"/>
  <c r="I16" i="20"/>
  <c r="I18" i="20" s="1"/>
  <c r="I17" i="20"/>
  <c r="I15" i="20"/>
  <c r="G18" i="20"/>
  <c r="I10" i="20"/>
  <c r="I11" i="20"/>
  <c r="I9" i="20"/>
  <c r="G12" i="20"/>
  <c r="I19" i="32"/>
  <c r="I20" i="32"/>
  <c r="I18" i="32"/>
  <c r="G21" i="32"/>
  <c r="I12" i="32"/>
  <c r="G12" i="32"/>
  <c r="I10" i="32"/>
  <c r="I11" i="32"/>
  <c r="I9" i="32"/>
  <c r="J13" i="19"/>
  <c r="J14" i="19" s="1"/>
  <c r="K18" i="36"/>
  <c r="K12" i="36"/>
  <c r="E35" i="40"/>
  <c r="E34" i="40"/>
  <c r="E31" i="40"/>
  <c r="E27" i="40"/>
  <c r="G16" i="11"/>
  <c r="F16" i="11"/>
  <c r="E16" i="11"/>
  <c r="E17" i="37"/>
  <c r="E18" i="37" s="1"/>
  <c r="E19" i="37" s="1"/>
  <c r="C17" i="37"/>
  <c r="C18" i="37" s="1"/>
  <c r="C19" i="37" s="1"/>
  <c r="L35" i="39"/>
  <c r="L37" i="39" s="1"/>
  <c r="J35" i="39"/>
  <c r="J37" i="39" s="1"/>
  <c r="L27" i="39"/>
  <c r="L29" i="39" s="1"/>
  <c r="J27" i="39"/>
  <c r="J29" i="39" s="1"/>
  <c r="L19" i="39"/>
  <c r="L21" i="39" s="1"/>
  <c r="J19" i="39"/>
  <c r="J21" i="39" s="1"/>
  <c r="L11" i="39"/>
  <c r="L13" i="39" s="1"/>
  <c r="J11" i="39"/>
  <c r="J13" i="39" s="1"/>
  <c r="K21" i="30"/>
  <c r="K13" i="30"/>
  <c r="K14" i="30"/>
  <c r="K15" i="30"/>
  <c r="K7" i="30"/>
  <c r="K6" i="30"/>
  <c r="K8" i="30" s="1"/>
  <c r="G31" i="27"/>
  <c r="I30" i="27"/>
  <c r="I28" i="27"/>
  <c r="I26" i="27"/>
  <c r="I22" i="27"/>
  <c r="G24" i="27"/>
  <c r="G20" i="27"/>
  <c r="I10" i="27"/>
  <c r="I11" i="27"/>
  <c r="I12" i="27"/>
  <c r="I13" i="27"/>
  <c r="I14" i="27"/>
  <c r="I15" i="27"/>
  <c r="I16" i="27"/>
  <c r="I9" i="27"/>
  <c r="E16" i="2" l="1"/>
  <c r="E17" i="2" s="1"/>
  <c r="I27" i="30"/>
  <c r="I28" i="30" s="1"/>
  <c r="E10" i="22"/>
  <c r="I39" i="30"/>
  <c r="I24" i="36"/>
  <c r="I25" i="36" s="1"/>
  <c r="E11" i="22"/>
  <c r="I36" i="36"/>
  <c r="E10" i="15"/>
  <c r="I33" i="30"/>
  <c r="E10" i="23"/>
  <c r="I45" i="30"/>
  <c r="E11" i="15"/>
  <c r="I30" i="36"/>
  <c r="E11" i="23"/>
  <c r="I42" i="36"/>
  <c r="E18" i="23"/>
  <c r="E18" i="22"/>
  <c r="E18" i="15"/>
  <c r="E22" i="2"/>
  <c r="I21" i="32"/>
  <c r="I24" i="20"/>
  <c r="I12" i="20"/>
  <c r="L36" i="39"/>
  <c r="L38" i="39" s="1"/>
  <c r="J12" i="39"/>
  <c r="J14" i="39" s="1"/>
  <c r="J20" i="39"/>
  <c r="J22" i="39" s="1"/>
  <c r="J28" i="39"/>
  <c r="J30" i="39" s="1"/>
  <c r="J36" i="39"/>
  <c r="J38" i="39" s="1"/>
  <c r="L12" i="39"/>
  <c r="L14" i="39" s="1"/>
  <c r="L20" i="39"/>
  <c r="L22" i="39" s="1"/>
  <c r="L28" i="39"/>
  <c r="L30" i="39" s="1"/>
  <c r="E24" i="23"/>
  <c r="E24" i="22"/>
  <c r="E24" i="15"/>
  <c r="I29" i="36" l="1"/>
  <c r="I31" i="36" s="1"/>
  <c r="E19" i="2"/>
  <c r="I32" i="30"/>
  <c r="I34" i="30" s="1"/>
  <c r="E18" i="2"/>
  <c r="E20" i="2" s="1"/>
  <c r="G14" i="2"/>
  <c r="G15" i="2"/>
  <c r="E35" i="2" l="1"/>
  <c r="E9" i="15"/>
  <c r="I38" i="30"/>
  <c r="I40" i="30" s="1"/>
  <c r="E14" i="15"/>
  <c r="I35" i="36"/>
  <c r="I37" i="36" s="1"/>
  <c r="E15" i="15"/>
  <c r="E19" i="40"/>
  <c r="I44" i="30" l="1"/>
  <c r="I46" i="30" s="1"/>
  <c r="E14" i="23" s="1"/>
  <c r="E14" i="22"/>
  <c r="I41" i="36"/>
  <c r="I43" i="36" s="1"/>
  <c r="E15" i="23" s="1"/>
  <c r="E15" i="22"/>
  <c r="E12" i="15"/>
  <c r="E13" i="15"/>
  <c r="E16" i="15" s="1"/>
  <c r="E16" i="40"/>
  <c r="E12" i="40"/>
  <c r="E9" i="22" l="1"/>
  <c r="E27" i="15"/>
  <c r="G8" i="30"/>
  <c r="E12" i="22" l="1"/>
  <c r="E13" i="22"/>
  <c r="E16" i="22"/>
  <c r="E23" i="27"/>
  <c r="E25" i="22" l="1"/>
  <c r="E9" i="23"/>
  <c r="E24" i="27"/>
  <c r="I23" i="27"/>
  <c r="I24" i="27" s="1"/>
  <c r="E29" i="20"/>
  <c r="E23" i="20"/>
  <c r="E17" i="20"/>
  <c r="E11" i="20"/>
  <c r="E12" i="23" l="1"/>
  <c r="E13" i="23"/>
  <c r="E16" i="23" s="1"/>
  <c r="E25" i="23" s="1"/>
  <c r="E21" i="32"/>
  <c r="E12" i="32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K30" i="36" s="1"/>
  <c r="C11" i="15"/>
  <c r="G11" i="15" s="1"/>
  <c r="G39" i="30"/>
  <c r="K39" i="30" s="1"/>
  <c r="C10" i="22"/>
  <c r="G10" i="22" s="1"/>
  <c r="C11" i="22"/>
  <c r="G11" i="22" s="1"/>
  <c r="G36" i="36"/>
  <c r="K36" i="36" s="1"/>
  <c r="G33" i="30"/>
  <c r="K33" i="30" s="1"/>
  <c r="C10" i="15"/>
  <c r="G10" i="15" s="1"/>
  <c r="G45" i="30"/>
  <c r="K45" i="30" s="1"/>
  <c r="C10" i="23"/>
  <c r="G10" i="23" s="1"/>
  <c r="G42" i="36"/>
  <c r="K42" i="36" s="1"/>
  <c r="C11" i="23"/>
  <c r="G11" i="23" s="1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G23" i="15" s="1"/>
  <c r="E12" i="39"/>
  <c r="E14" i="39" s="1"/>
  <c r="C27" i="2" s="1"/>
  <c r="G27" i="2" s="1"/>
  <c r="C20" i="39"/>
  <c r="C22" i="39" s="1"/>
  <c r="C22" i="15" s="1"/>
  <c r="G22" i="15" s="1"/>
  <c r="C12" i="39"/>
  <c r="G24" i="15" l="1"/>
  <c r="E30" i="39"/>
  <c r="C23" i="22" s="1"/>
  <c r="G23" i="22" s="1"/>
  <c r="C38" i="39"/>
  <c r="C22" i="23" s="1"/>
  <c r="G22" i="23" s="1"/>
  <c r="C30" i="39"/>
  <c r="C22" i="22" s="1"/>
  <c r="G22" i="22" s="1"/>
  <c r="E38" i="39"/>
  <c r="C23" i="23" s="1"/>
  <c r="G23" i="23" s="1"/>
  <c r="C14" i="39"/>
  <c r="C26" i="2" s="1"/>
  <c r="G26" i="2" s="1"/>
  <c r="G12" i="10"/>
  <c r="G14" i="10" s="1"/>
  <c r="G24" i="23" l="1"/>
  <c r="C24" i="23"/>
  <c r="C24" i="22"/>
  <c r="G24" i="22" s="1"/>
  <c r="C24" i="15"/>
  <c r="C28" i="2"/>
  <c r="G28" i="2" s="1"/>
  <c r="G6" i="36" l="1"/>
  <c r="G10" i="36" l="1"/>
  <c r="G13" i="36" l="1"/>
  <c r="G12" i="30"/>
  <c r="G19" i="36" l="1"/>
  <c r="G16" i="30"/>
  <c r="G20" i="30" s="1"/>
  <c r="E19" i="27" l="1"/>
  <c r="G23" i="36"/>
  <c r="G22" i="30"/>
  <c r="E18" i="27" s="1"/>
  <c r="G26" i="30" l="1"/>
  <c r="E16" i="27"/>
  <c r="E17" i="27" s="1"/>
  <c r="I17" i="27" s="1"/>
  <c r="I20" i="27" s="1"/>
  <c r="I31" i="27" s="1"/>
  <c r="E20" i="27" l="1"/>
  <c r="E31" i="27" s="1"/>
  <c r="C9" i="2" l="1"/>
  <c r="F11" i="11" l="1"/>
  <c r="C10" i="37" s="1"/>
  <c r="C12" i="37" s="1"/>
  <c r="C13" i="37" s="1"/>
  <c r="C10" i="2" s="1"/>
  <c r="G10" i="2" s="1"/>
  <c r="G1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13" i="2" s="1"/>
  <c r="G27" i="30" l="1"/>
  <c r="G12" i="2"/>
  <c r="G28" i="30"/>
  <c r="C18" i="2"/>
  <c r="G16" i="2" l="1"/>
  <c r="K27" i="30"/>
  <c r="K28" i="30" s="1"/>
  <c r="G32" i="30"/>
  <c r="E11" i="11"/>
  <c r="E10" i="37" s="1"/>
  <c r="E12" i="37" s="1"/>
  <c r="E13" i="37" s="1"/>
  <c r="C11" i="2" s="1"/>
  <c r="C30" i="2"/>
  <c r="K32" i="30" l="1"/>
  <c r="G18" i="2"/>
  <c r="G24" i="36"/>
  <c r="G25" i="36" s="1"/>
  <c r="G11" i="2"/>
  <c r="K24" i="36" s="1"/>
  <c r="G34" i="30"/>
  <c r="K34" i="30" s="1"/>
  <c r="K38" i="30" l="1"/>
  <c r="G14" i="15"/>
  <c r="C14" i="15"/>
  <c r="K25" i="36"/>
  <c r="K40" i="30"/>
  <c r="G38" i="30"/>
  <c r="C16" i="2"/>
  <c r="K29" i="36" l="1"/>
  <c r="G19" i="2"/>
  <c r="K44" i="30"/>
  <c r="K46" i="30" s="1"/>
  <c r="G14" i="23" s="1"/>
  <c r="G14" i="22"/>
  <c r="K31" i="36"/>
  <c r="G40" i="30"/>
  <c r="C17" i="2"/>
  <c r="G17" i="2" s="1"/>
  <c r="G20" i="2" s="1"/>
  <c r="C14" i="22"/>
  <c r="G9" i="15" l="1"/>
  <c r="G12" i="15" s="1"/>
  <c r="G35" i="2"/>
  <c r="K35" i="36"/>
  <c r="G15" i="15"/>
  <c r="K37" i="36"/>
  <c r="G44" i="30"/>
  <c r="C19" i="2"/>
  <c r="G29" i="36"/>
  <c r="K41" i="36" l="1"/>
  <c r="K43" i="36" s="1"/>
  <c r="G15" i="23" s="1"/>
  <c r="G15" i="22"/>
  <c r="G31" i="36"/>
  <c r="C20" i="2"/>
  <c r="C9" i="15" s="1"/>
  <c r="G46" i="30"/>
  <c r="G35" i="36"/>
  <c r="G37" i="36" l="1"/>
  <c r="G41" i="36" s="1"/>
  <c r="C35" i="2"/>
  <c r="C14" i="23"/>
  <c r="C12" i="15"/>
  <c r="C15" i="15"/>
  <c r="C15" i="22"/>
  <c r="G43" i="36" l="1"/>
  <c r="C13" i="15"/>
  <c r="G13" i="15" s="1"/>
  <c r="C16" i="15" l="1"/>
  <c r="C27" i="15" s="1"/>
  <c r="G16" i="15"/>
  <c r="C15" i="23"/>
  <c r="G27" i="15" l="1"/>
  <c r="G9" i="22"/>
  <c r="G12" i="22" s="1"/>
  <c r="C9" i="22"/>
  <c r="C12" i="22" l="1"/>
  <c r="C13" i="22" s="1"/>
  <c r="G13" i="22" s="1"/>
  <c r="C16" i="22" l="1"/>
  <c r="C9" i="23" s="1"/>
  <c r="C12" i="23" s="1"/>
  <c r="G16" i="22"/>
  <c r="G25" i="22" l="1"/>
  <c r="G9" i="23"/>
  <c r="G12" i="23" s="1"/>
  <c r="C25" i="22"/>
  <c r="C13" i="23" l="1"/>
  <c r="C16" i="23" l="1"/>
  <c r="C25" i="23" s="1"/>
  <c r="G13" i="23"/>
  <c r="G16" i="23" s="1"/>
  <c r="G25" i="23" s="1"/>
</calcChain>
</file>

<file path=xl/sharedStrings.xml><?xml version="1.0" encoding="utf-8"?>
<sst xmlns="http://schemas.openxmlformats.org/spreadsheetml/2006/main" count="1315" uniqueCount="281">
  <si>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</si>
  <si>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</si>
  <si>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</si>
  <si>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</si>
  <si>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</si>
  <si>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</si>
  <si>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</si>
  <si>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</si>
  <si>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</si>
  <si>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</si>
  <si>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</si>
  <si>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</si>
  <si>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</si>
  <si>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</si>
  <si>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</si>
  <si>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</si>
  <si>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</si>
  <si>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</si>
  <si>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</si>
  <si>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</si>
  <si>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</si>
  <si>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</si>
  <si>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</si>
  <si>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</si>
  <si>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</si>
  <si>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</si>
  <si>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</si>
  <si>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</si>
  <si>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</si>
  <si>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</si>
  <si>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</si>
  <si>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</si>
  <si>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</si>
  <si>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</si>
  <si>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</si>
  <si>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</si>
  <si>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</si>
  <si>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</si>
  <si>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</si>
  <si>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</si>
  <si>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</si>
  <si>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</si>
  <si>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</si>
  <si>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</si>
  <si>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</si>
  <si>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</si>
  <si>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</si>
  <si>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</si>
  <si>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</si>
  <si>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</si>
  <si>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</si>
  <si>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</si>
  <si>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</si>
  <si>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</si>
  <si>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</si>
  <si>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</si>
  <si>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</si>
  <si>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</si>
  <si>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</si>
  <si>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</si>
  <si>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</si>
  <si>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</si>
  <si>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</si>
  <si>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</si>
  <si>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</si>
  <si>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</si>
  <si>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</si>
  <si>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</si>
  <si>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</si>
  <si>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</si>
  <si>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</si>
  <si>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</si>
  <si>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</si>
  <si>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</si>
  <si>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</si>
  <si>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</si>
  <si>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</si>
  <si>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</si>
  <si>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</si>
  <si>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</si>
  <si>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</si>
  <si>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</si>
  <si>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</si>
  <si>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</si>
  <si>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</si>
  <si>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</si>
  <si>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</si>
  <si>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</si>
  <si>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</si>
  <si>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</si>
  <si>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</si>
  <si>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</si>
  <si>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</si>
  <si>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</si>
  <si>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</si>
  <si>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</si>
  <si>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</si>
  <si>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</si>
  <si>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</si>
  <si>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</si>
  <si>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</si>
  <si>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</si>
  <si>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</si>
  <si>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</si>
  <si>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</si>
  <si>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</si>
  <si>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</si>
  <si>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</si>
  <si>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</si>
  <si>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</si>
  <si>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</si>
  <si>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</si>
  <si>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</si>
  <si>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</si>
  <si>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</si>
  <si>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</si>
  <si>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</si>
  <si>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</si>
  <si>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</si>
  <si>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</si>
  <si>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</si>
  <si>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</si>
  <si>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</si>
  <si>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</si>
  <si>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</si>
  <si>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</si>
  <si>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</si>
  <si>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</si>
  <si>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</si>
  <si>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</si>
  <si>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</si>
  <si>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</si>
  <si>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</si>
  <si>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</si>
  <si>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</si>
  <si>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</si>
  <si>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</si>
  <si>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</si>
  <si>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</si>
  <si>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</si>
  <si>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</si>
  <si>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</si>
  <si>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</si>
  <si>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</si>
  <si>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</si>
  <si>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</si>
  <si>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</si>
  <si>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</si>
  <si>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</si>
  <si>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</si>
  <si>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</si>
  <si>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</si>
  <si>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</si>
  <si>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</si>
  <si>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</si>
  <si>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</si>
  <si>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</si>
  <si>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</si>
  <si>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</si>
  <si>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</si>
  <si>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</si>
  <si>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</si>
  <si>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</si>
  <si>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</si>
  <si>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</si>
  <si>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</si>
  <si>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</si>
  <si>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</si>
  <si>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</si>
  <si>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</si>
  <si>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</si>
  <si>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</si>
  <si>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</si>
  <si>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</si>
  <si>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</si>
  <si>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</si>
  <si>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</si>
  <si>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</si>
  <si>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</si>
  <si>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</si>
  <si>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</si>
  <si>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</si>
  <si>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</si>
  <si>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</si>
  <si>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</si>
  <si>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</si>
  <si>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</si>
  <si>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</si>
  <si>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</si>
  <si>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</si>
  <si>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</si>
  <si>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</si>
  <si>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</si>
  <si>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</si>
  <si>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</si>
  <si>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</si>
  <si>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</si>
  <si>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</si>
  <si>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</si>
  <si>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</si>
  <si>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</si>
  <si>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</si>
  <si>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</si>
  <si>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</si>
  <si>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</si>
  <si>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</si>
  <si>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</si>
  <si>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</si>
  <si>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</si>
  <si>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</si>
  <si>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</si>
  <si>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</si>
  <si>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</si>
  <si>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</si>
  <si>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</si>
  <si>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</si>
  <si>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</si>
  <si>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14: Historisk over- eller underdækning</t>
  </si>
  <si>
    <t>Fane 12: Tilknyttet aktivitet under hovedvirksomheden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</si>
  <si>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</si>
  <si>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</si>
  <si>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</si>
  <si>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</si>
  <si>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</si>
  <si>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</si>
  <si>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</si>
  <si>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</si>
  <si>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</si>
  <si>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</si>
  <si>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</si>
  <si>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</si>
  <si>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</si>
  <si>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</si>
  <si>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</si>
  <si>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</si>
  <si>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</si>
  <si>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</si>
  <si>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</si>
  <si>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</si>
  <si>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</si>
  <si>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</si>
  <si>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</si>
  <si>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</si>
  <si>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</si>
  <si>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</si>
  <si>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</si>
  <si>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</si>
  <si>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</si>
  <si>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</si>
  <si>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</si>
  <si>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</si>
  <si>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</si>
  <si>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</si>
  <si>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</si>
  <si>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Ejendomsskatter</t>
  </si>
  <si>
    <t>Sankelmarksvej</t>
  </si>
  <si>
    <t>Ingen engangstillæg</t>
  </si>
  <si>
    <t>Ingen anlægsprojekter</t>
  </si>
  <si>
    <t>Anlægsprojekter igangsat senest 1. marts 2016</t>
  </si>
  <si>
    <t>Samlet</t>
  </si>
  <si>
    <t>Vordingborg Rens</t>
  </si>
  <si>
    <t>Ikke-påvirkelige omkostninger for Vordingborg Samlet</t>
  </si>
  <si>
    <t>Spildevandsafgift</t>
  </si>
  <si>
    <t>Vordingborg Spildevand A/S</t>
  </si>
  <si>
    <t>Vordingborg Rens A/S</t>
  </si>
  <si>
    <t>Individuelt effektiviseringskrav for Vordingborg Spildevand A/S</t>
  </si>
  <si>
    <t xml:space="preserve"> Individuelt effektiviseringskrav for Vordingborg Rens A/S</t>
  </si>
  <si>
    <t>Fane 6: Ikke-påvirkelige omkostninger for Vordingborg Spildevand A/S</t>
  </si>
  <si>
    <t>Ikke-påvirkelige omkostninger for Vordingborg Rens A/S</t>
  </si>
  <si>
    <t>Anlægsprojekter igangsat senest den 1. marts 2016 for Vordingborg Spildevand A/S</t>
  </si>
  <si>
    <t>Anlægsprojekter igangsat senest den 1. marts 2016 for Vordingborg Rens A/S</t>
  </si>
  <si>
    <t>Nye varige tillæg for Vordingborg Spildevand A/S</t>
  </si>
  <si>
    <t>Nye varige tillæg for Vordingborg Rens A/S</t>
  </si>
  <si>
    <t xml:space="preserve"> Engangstillæg for Vordingborg Rens A/S</t>
  </si>
  <si>
    <t>Fane 10.2: Engangstillæg for Vordingborg Spildevand A/S</t>
  </si>
  <si>
    <t>Tilknyttet aktivitet under hovedvirksomheden for Vordingborg Spildevand A/S</t>
  </si>
  <si>
    <t>Tilknyttet aktivitet under hovedvirksomheden for Vordingborg Rens A/S</t>
  </si>
  <si>
    <t>Bortfald eller nedsættelse af omkostninger til mål, medfinansiering eller udvidelse for Vordingborg Rens A/S</t>
  </si>
  <si>
    <t>Fane 13: Bortfald eller nedsættelse af omkostninger til mål, medfinansiering eller udvidelse for Vordingborg Spildevand A/S</t>
  </si>
  <si>
    <t>Tillæg/fradrag for historisk over- eller underdækning til og med 2010 for Vordingborg Spildevand A/S</t>
  </si>
  <si>
    <t>Tillæg/fradrag for historisk over- eller underdækning til og med 2010 for Vordingborg Rens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</si>
</sst>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3" fontId="8" fillId="4" borderId="1" xfId="0" applyNumberFormat="1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6" fillId="2" borderId="0" xfId="0" applyFont="1" applyFill="1" applyAlignment="1" applyProtection="1">
      <alignment horizontal="center" wrapText="1"/>
    </xf>
    <xf numFmtId="0" fontId="7" fillId="3" borderId="6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wrapText="1"/>
    </xf>
    <xf numFmtId="0" fontId="7" fillId="3" borderId="6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>
      <alignment wrapText="1"/>
    </xf>
    <xf numFmtId="0" fontId="0" fillId="2" borderId="0" xfId="0" applyFill="1" applyAlignment="1" applyProtection="1"/>
    <xf numFmtId="0" fontId="0" fillId="0" borderId="0" xfId="0" applyAlignment="1" applyProtection="1"/>
    <xf numFmtId="0" fontId="15" fillId="2" borderId="0" xfId="0" applyFont="1" applyFill="1" applyAlignment="1" applyProtection="1">
      <alignment horizontal="center" wrapText="1"/>
    </xf>
    <xf numFmtId="165" fontId="8" fillId="9" borderId="1" xfId="1" applyNumberFormat="1" applyFont="1" applyFill="1" applyBorder="1" applyAlignment="1" applyProtection="1">
      <alignment wrapText="1"/>
    </xf>
    <xf numFmtId="10" fontId="8" fillId="9" borderId="1" xfId="4" applyNumberFormat="1" applyFont="1" applyFill="1" applyBorder="1" applyAlignment="1" applyProtection="1">
      <alignment wrapText="1"/>
    </xf>
    <xf numFmtId="10" fontId="8" fillId="0" borderId="1" xfId="4" applyNumberFormat="1" applyFont="1" applyFill="1" applyBorder="1" applyAlignment="1" applyProtection="1">
      <alignment wrapText="1"/>
    </xf>
    <xf numFmtId="0" fontId="8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49" fontId="8" fillId="9" borderId="2" xfId="0" applyNumberFormat="1" applyFont="1" applyFill="1" applyBorder="1" applyAlignment="1" applyProtection="1">
      <alignment wrapText="1"/>
    </xf>
    <xf numFmtId="0" fontId="17" fillId="0" borderId="2" xfId="0" applyFont="1" applyFill="1" applyBorder="1" applyAlignment="1" applyProtection="1">
      <alignment wrapText="1"/>
    </xf>
    <xf numFmtId="3" fontId="17" fillId="0" borderId="1" xfId="0" applyNumberFormat="1" applyFont="1" applyFill="1" applyBorder="1" applyAlignment="1" applyProtection="1">
      <alignment wrapText="1"/>
    </xf>
    <xf numFmtId="0" fontId="17" fillId="0" borderId="1" xfId="0" applyFont="1" applyFill="1" applyBorder="1" applyAlignment="1" applyProtection="1">
      <alignment wrapText="1"/>
    </xf>
    <xf numFmtId="3" fontId="10" fillId="4" borderId="1" xfId="0" applyNumberFormat="1" applyFont="1" applyFill="1" applyBorder="1" applyAlignment="1" applyProtection="1">
      <alignment wrapText="1"/>
    </xf>
    <xf numFmtId="0" fontId="10" fillId="4" borderId="1" xfId="0" applyFont="1" applyFill="1" applyBorder="1" applyAlignment="1" applyProtection="1">
      <alignment wrapText="1"/>
    </xf>
    <xf numFmtId="3" fontId="8" fillId="4" borderId="3" xfId="0" applyNumberFormat="1" applyFont="1" applyFill="1" applyBorder="1" applyAlignment="1" applyProtection="1">
      <alignment wrapText="1"/>
    </xf>
    <xf numFmtId="0" fontId="7" fillId="3" borderId="8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3" fontId="8" fillId="4" borderId="6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12" xfId="0" applyFont="1" applyFill="1" applyBorder="1" applyAlignment="1" applyProtection="1">
      <alignment wrapText="1"/>
    </xf>
    <xf numFmtId="3" fontId="7" fillId="3" borderId="13" xfId="0" applyNumberFormat="1" applyFont="1" applyFill="1" applyBorder="1" applyAlignment="1" applyProtection="1">
      <alignment wrapText="1"/>
    </xf>
    <xf numFmtId="0" fontId="7" fillId="3" borderId="1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6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8" fillId="4" borderId="6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16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2" fillId="2" borderId="0" xfId="0" applyFont="1" applyFill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9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9" borderId="9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11" xfId="0" quotePrefix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7" xfId="0" applyFont="1" applyFill="1" applyBorder="1" applyAlignment="1" applyProtection="1">
      <alignment horizontal="left" vertical="top" wrapText="1"/>
    </xf>
    <xf numFmtId="0" fontId="7" fillId="3" borderId="8" xfId="0" applyFont="1" applyFill="1" applyBorder="1" applyAlignment="1" applyProtection="1">
      <alignment horizontal="left" vertical="top" wrapText="1"/>
    </xf>
    <xf numFmtId="0" fontId="7" fillId="3" borderId="9" xfId="0" applyFont="1" applyFill="1" applyBorder="1" applyAlignment="1" applyProtection="1">
      <alignment horizontal="left" vertical="top" wrapText="1"/>
    </xf>
    <xf numFmtId="0" fontId="7" fillId="3" borderId="10" xfId="0" applyFont="1" applyFill="1" applyBorder="1" applyAlignment="1" applyProtection="1">
      <alignment horizontal="left" vertical="top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wrapText="1"/>
    </xf>
    <xf numFmtId="0" fontId="7" fillId="3" borderId="6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/>
    </xf>
    <xf numFmtId="0" fontId="10" fillId="4" borderId="3" xfId="0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4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94" t="s">
        <v>169</v>
      </c>
      <c r="E8" s="94"/>
      <c r="F8" s="94"/>
      <c r="G8" s="9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93" t="s">
        <v>5</v>
      </c>
      <c r="E11" s="93"/>
      <c r="F11" s="93"/>
      <c r="G11" s="9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3" t="s">
        <v>50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22</v>
      </c>
      <c r="D14" s="83" t="s">
        <v>52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49</v>
      </c>
      <c r="D15" s="83" t="s">
        <v>133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51</v>
      </c>
      <c r="D16" s="83" t="s">
        <v>134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235</v>
      </c>
      <c r="D17" s="83" t="s">
        <v>61</v>
      </c>
      <c r="E17" s="84"/>
      <c r="F17" s="84"/>
      <c r="G17" s="85"/>
      <c r="H17" s="1"/>
      <c r="I17" s="1"/>
    </row>
    <row r="18" spans="1:9" x14ac:dyDescent="0.25">
      <c r="A18" s="1"/>
      <c r="B18" s="1"/>
      <c r="C18" s="6" t="s">
        <v>209</v>
      </c>
      <c r="D18" s="95" t="s">
        <v>177</v>
      </c>
      <c r="E18" s="96"/>
      <c r="F18" s="96"/>
      <c r="G18" s="97"/>
      <c r="H18" s="1"/>
      <c r="I18" s="1"/>
    </row>
    <row r="19" spans="1:9" x14ac:dyDescent="0.25">
      <c r="A19" s="1"/>
      <c r="B19" s="1"/>
      <c r="C19" s="6" t="s">
        <v>210</v>
      </c>
      <c r="D19" s="95" t="s">
        <v>178</v>
      </c>
      <c r="E19" s="96"/>
      <c r="F19" s="96"/>
      <c r="G19" s="97"/>
      <c r="H19" s="1"/>
      <c r="I19" s="1"/>
    </row>
    <row r="20" spans="1:9" x14ac:dyDescent="0.25">
      <c r="A20" s="1"/>
      <c r="B20" s="1"/>
      <c r="C20" s="6" t="s">
        <v>7</v>
      </c>
      <c r="D20" s="95" t="s">
        <v>10</v>
      </c>
      <c r="E20" s="96"/>
      <c r="F20" s="96"/>
      <c r="G20" s="97"/>
      <c r="H20" s="1"/>
      <c r="I20" s="1"/>
    </row>
    <row r="21" spans="1:9" x14ac:dyDescent="0.25">
      <c r="A21" s="1"/>
      <c r="B21" s="1"/>
      <c r="C21" s="6" t="s">
        <v>211</v>
      </c>
      <c r="D21" s="87" t="s">
        <v>17</v>
      </c>
      <c r="E21" s="88"/>
      <c r="F21" s="88"/>
      <c r="G21" s="89"/>
      <c r="H21" s="1"/>
      <c r="I21" s="1"/>
    </row>
    <row r="22" spans="1:9" x14ac:dyDescent="0.25">
      <c r="A22" s="1"/>
      <c r="B22" s="1"/>
      <c r="C22" s="6" t="s">
        <v>139</v>
      </c>
      <c r="D22" s="90" t="s">
        <v>173</v>
      </c>
      <c r="E22" s="91"/>
      <c r="F22" s="91"/>
      <c r="G22" s="92"/>
      <c r="H22" s="1"/>
      <c r="I22" s="1"/>
    </row>
    <row r="23" spans="1:9" x14ac:dyDescent="0.25">
      <c r="A23" s="1"/>
      <c r="B23" s="1"/>
      <c r="C23" s="6" t="s">
        <v>8</v>
      </c>
      <c r="D23" s="90" t="s">
        <v>243</v>
      </c>
      <c r="E23" s="91"/>
      <c r="F23" s="91"/>
      <c r="G23" s="92"/>
      <c r="H23" s="1"/>
      <c r="I23" s="1"/>
    </row>
    <row r="24" spans="1:9" x14ac:dyDescent="0.25">
      <c r="A24" s="1"/>
      <c r="B24" s="1"/>
      <c r="C24" s="6" t="s">
        <v>9</v>
      </c>
      <c r="D24" s="90" t="s">
        <v>53</v>
      </c>
      <c r="E24" s="91"/>
      <c r="F24" s="91"/>
      <c r="G24" s="92"/>
      <c r="H24" s="1"/>
      <c r="I24" s="1"/>
    </row>
    <row r="25" spans="1:9" x14ac:dyDescent="0.25">
      <c r="A25" s="1"/>
      <c r="B25" s="1"/>
      <c r="C25" s="6" t="s">
        <v>212</v>
      </c>
      <c r="D25" s="90" t="s">
        <v>140</v>
      </c>
      <c r="E25" s="91"/>
      <c r="F25" s="91"/>
      <c r="G25" s="92"/>
      <c r="H25" s="1"/>
      <c r="I25" s="1"/>
    </row>
    <row r="26" spans="1:9" x14ac:dyDescent="0.25">
      <c r="A26" s="1"/>
      <c r="B26" s="1"/>
      <c r="C26" s="6" t="s">
        <v>213</v>
      </c>
      <c r="D26" s="90" t="s">
        <v>141</v>
      </c>
      <c r="E26" s="91"/>
      <c r="F26" s="91"/>
      <c r="G26" s="92"/>
      <c r="H26" s="1"/>
      <c r="I26" s="1"/>
    </row>
    <row r="27" spans="1:9" x14ac:dyDescent="0.25">
      <c r="A27" s="1"/>
      <c r="B27" s="1"/>
      <c r="C27" s="6" t="s">
        <v>214</v>
      </c>
      <c r="D27" s="90" t="s">
        <v>142</v>
      </c>
      <c r="E27" s="91"/>
      <c r="F27" s="91"/>
      <c r="G27" s="92"/>
      <c r="H27" s="1"/>
      <c r="I27" s="1"/>
    </row>
    <row r="28" spans="1:9" x14ac:dyDescent="0.25">
      <c r="A28" s="1"/>
      <c r="B28" s="1"/>
      <c r="C28" s="6" t="s">
        <v>21</v>
      </c>
      <c r="D28" s="90" t="s">
        <v>54</v>
      </c>
      <c r="E28" s="91"/>
      <c r="F28" s="91"/>
      <c r="G28" s="92"/>
      <c r="H28" s="1"/>
      <c r="I28" s="1"/>
    </row>
    <row r="29" spans="1:9" x14ac:dyDescent="0.25">
      <c r="A29" s="1"/>
      <c r="B29" s="1"/>
      <c r="C29" s="6" t="s">
        <v>56</v>
      </c>
      <c r="D29" s="90" t="s">
        <v>55</v>
      </c>
      <c r="E29" s="91"/>
      <c r="F29" s="91"/>
      <c r="G29" s="92"/>
      <c r="H29" s="1"/>
      <c r="I29" s="1"/>
    </row>
    <row r="30" spans="1:9" x14ac:dyDescent="0.25">
      <c r="A30" s="1"/>
      <c r="B30" s="1"/>
      <c r="C30" s="6" t="s">
        <v>57</v>
      </c>
      <c r="D30" s="101" t="s">
        <v>11</v>
      </c>
      <c r="E30" s="102"/>
      <c r="F30" s="102"/>
      <c r="G30" s="103"/>
      <c r="H30" s="1"/>
      <c r="I30" s="1"/>
    </row>
    <row r="31" spans="1:9" x14ac:dyDescent="0.25">
      <c r="A31" s="1"/>
      <c r="B31" s="1"/>
      <c r="C31" s="6" t="s">
        <v>172</v>
      </c>
      <c r="D31" s="98" t="s">
        <v>204</v>
      </c>
      <c r="E31" s="99"/>
      <c r="F31" s="99"/>
      <c r="G31" s="100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Cxm+ae/PfCxG+5v2DOKnan2EdH71k+wL+td7kGtpAGlmq/emaj2qWhHaw/cbcoue786ZZNp0b8+26IfM8wyIvQ==" saltValue="Dpwro2kt0xrybon7ueoNH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S49"/>
  <sheetViews>
    <sheetView showGridLines="0" view="pageLayout" topLeftCell="D1" zoomScaleNormal="100" workbookViewId="0">
      <selection activeCell="P14" sqref="P14"/>
    </sheetView>
  </sheetViews>
  <sheetFormatPr defaultColWidth="9.140625" defaultRowHeight="15" x14ac:dyDescent="0.25"/>
  <cols>
    <col min="1" max="1" width="8.140625" style="48" customWidth="1"/>
    <col min="2" max="2" width="42.5703125" style="48" customWidth="1"/>
    <col min="3" max="3" width="24.85546875" style="48" customWidth="1"/>
    <col min="4" max="4" width="3.28515625" style="48" customWidth="1"/>
    <col min="5" max="5" width="7.85546875" style="48" customWidth="1"/>
    <col min="6" max="6" width="4" style="48" customWidth="1"/>
    <col min="7" max="8" width="9.140625" style="48"/>
    <col min="9" max="9" width="40.140625" style="48" customWidth="1"/>
    <col min="10" max="10" width="21.85546875" style="48" bestFit="1" customWidth="1"/>
    <col min="11" max="11" width="3" style="48" customWidth="1"/>
    <col min="12" max="12" width="10.42578125" style="48" customWidth="1"/>
    <col min="13" max="13" width="9.140625" style="48"/>
    <col min="14" max="14" width="6.5703125" style="48" customWidth="1"/>
    <col min="15" max="15" width="40.42578125" style="48" customWidth="1"/>
    <col min="16" max="16" width="21.85546875" style="48" bestFit="1" customWidth="1"/>
    <col min="17" max="17" width="3" style="48" bestFit="1" customWidth="1"/>
    <col min="18" max="18" width="5.140625" style="48" customWidth="1"/>
    <col min="19" max="16384" width="9.140625" style="48"/>
  </cols>
  <sheetData>
    <row r="1" spans="1:19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15" customHeight="1" x14ac:dyDescent="0.25">
      <c r="A3" s="104" t="s">
        <v>267</v>
      </c>
      <c r="B3" s="104"/>
      <c r="C3" s="104"/>
      <c r="D3" s="104"/>
      <c r="E3" s="104"/>
      <c r="F3" s="104"/>
      <c r="G3" s="104" t="s">
        <v>268</v>
      </c>
      <c r="H3" s="104"/>
      <c r="I3" s="104"/>
      <c r="J3" s="104"/>
      <c r="K3" s="104"/>
      <c r="L3" s="104"/>
      <c r="M3" s="104"/>
      <c r="N3" s="129" t="s">
        <v>261</v>
      </c>
      <c r="O3" s="129"/>
      <c r="P3" s="129"/>
      <c r="Q3" s="129"/>
      <c r="R3" s="129"/>
      <c r="S3" s="129"/>
    </row>
    <row r="4" spans="1:19" ht="1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29"/>
      <c r="O4" s="129"/>
      <c r="P4" s="129"/>
      <c r="Q4" s="129"/>
      <c r="R4" s="129"/>
      <c r="S4" s="129"/>
    </row>
    <row r="5" spans="1:19" ht="14.4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07" t="s">
        <v>64</v>
      </c>
      <c r="C8" s="108"/>
      <c r="D8" s="109"/>
      <c r="E8" s="16"/>
      <c r="F8" s="16"/>
      <c r="G8" s="16"/>
      <c r="H8" s="16"/>
      <c r="I8" s="107" t="s">
        <v>64</v>
      </c>
      <c r="J8" s="108"/>
      <c r="K8" s="109"/>
      <c r="L8" s="16"/>
      <c r="M8" s="16"/>
      <c r="N8" s="16"/>
      <c r="O8" s="107" t="s">
        <v>64</v>
      </c>
      <c r="P8" s="108"/>
      <c r="Q8" s="109"/>
      <c r="R8" s="16"/>
      <c r="S8" s="16"/>
    </row>
    <row r="9" spans="1:19" ht="15" customHeight="1" x14ac:dyDescent="0.25">
      <c r="A9" s="16"/>
      <c r="B9" s="26" t="s">
        <v>47</v>
      </c>
      <c r="C9" s="11" t="s">
        <v>65</v>
      </c>
      <c r="D9" s="11"/>
      <c r="E9" s="16"/>
      <c r="F9" s="16"/>
      <c r="G9" s="16"/>
      <c r="H9" s="16"/>
      <c r="I9" s="26" t="s">
        <v>47</v>
      </c>
      <c r="J9" s="82" t="s">
        <v>65</v>
      </c>
      <c r="K9" s="11"/>
      <c r="L9" s="16"/>
      <c r="M9" s="16"/>
      <c r="N9" s="16"/>
      <c r="O9" s="26" t="s">
        <v>47</v>
      </c>
      <c r="P9" s="82" t="s">
        <v>65</v>
      </c>
      <c r="Q9" s="11"/>
      <c r="R9" s="16"/>
      <c r="S9" s="16"/>
    </row>
    <row r="10" spans="1:19" x14ac:dyDescent="0.25">
      <c r="A10" s="16"/>
      <c r="B10" s="54" t="s">
        <v>252</v>
      </c>
      <c r="C10" s="7">
        <v>44355</v>
      </c>
      <c r="D10" s="8" t="s">
        <v>3</v>
      </c>
      <c r="E10" s="16"/>
      <c r="F10" s="16"/>
      <c r="G10" s="16"/>
      <c r="H10" s="16"/>
      <c r="I10" s="54" t="s">
        <v>262</v>
      </c>
      <c r="J10" s="7">
        <v>1734911</v>
      </c>
      <c r="K10" s="8" t="s">
        <v>3</v>
      </c>
      <c r="L10" s="16"/>
      <c r="M10" s="16"/>
      <c r="N10" s="16"/>
      <c r="O10" s="54" t="s">
        <v>252</v>
      </c>
      <c r="P10" s="7">
        <f>+C10+J11</f>
        <v>89940</v>
      </c>
      <c r="Q10" s="8" t="s">
        <v>3</v>
      </c>
      <c r="R10" s="16"/>
      <c r="S10" s="16"/>
    </row>
    <row r="11" spans="1:19" ht="26.25" x14ac:dyDescent="0.25">
      <c r="A11" s="16"/>
      <c r="B11" s="54" t="s">
        <v>253</v>
      </c>
      <c r="C11" s="7">
        <v>0</v>
      </c>
      <c r="D11" s="8" t="s">
        <v>3</v>
      </c>
      <c r="E11" s="16"/>
      <c r="F11" s="16"/>
      <c r="G11" s="16"/>
      <c r="H11" s="16"/>
      <c r="I11" s="54" t="s">
        <v>252</v>
      </c>
      <c r="J11" s="7">
        <v>45585</v>
      </c>
      <c r="K11" s="8" t="s">
        <v>3</v>
      </c>
      <c r="L11" s="16"/>
      <c r="M11" s="16"/>
      <c r="N11" s="16"/>
      <c r="O11" s="54" t="s">
        <v>253</v>
      </c>
      <c r="P11" s="7">
        <f>+C11</f>
        <v>0</v>
      </c>
      <c r="Q11" s="8" t="s">
        <v>3</v>
      </c>
      <c r="R11" s="16"/>
      <c r="S11" s="16"/>
    </row>
    <row r="12" spans="1:19" x14ac:dyDescent="0.25">
      <c r="A12" s="16"/>
      <c r="B12" s="54" t="s">
        <v>254</v>
      </c>
      <c r="C12" s="7">
        <v>183496</v>
      </c>
      <c r="D12" s="8" t="s">
        <v>3</v>
      </c>
      <c r="E12" s="16"/>
      <c r="F12" s="16"/>
      <c r="G12" s="16"/>
      <c r="H12" s="16"/>
      <c r="I12" s="54" t="s">
        <v>254</v>
      </c>
      <c r="J12" s="7">
        <v>153226</v>
      </c>
      <c r="K12" s="8" t="s">
        <v>3</v>
      </c>
      <c r="L12" s="16"/>
      <c r="M12" s="16"/>
      <c r="N12" s="16"/>
      <c r="O12" s="54" t="s">
        <v>254</v>
      </c>
      <c r="P12" s="7">
        <f>+C12+J12</f>
        <v>336722</v>
      </c>
      <c r="Q12" s="8" t="s">
        <v>3</v>
      </c>
      <c r="R12" s="16"/>
      <c r="S12" s="16"/>
    </row>
    <row r="13" spans="1:19" ht="14.1" customHeight="1" x14ac:dyDescent="0.25">
      <c r="A13" s="16"/>
      <c r="B13" s="55" t="s">
        <v>66</v>
      </c>
      <c r="C13" s="46">
        <f>SUM(C10:C12)</f>
        <v>227851</v>
      </c>
      <c r="D13" s="47" t="s">
        <v>3</v>
      </c>
      <c r="E13" s="16"/>
      <c r="F13" s="16"/>
      <c r="G13" s="16"/>
      <c r="H13" s="16"/>
      <c r="I13" s="55" t="s">
        <v>66</v>
      </c>
      <c r="J13" s="46">
        <f>SUM(J10:J12)</f>
        <v>1933722</v>
      </c>
      <c r="K13" s="47" t="s">
        <v>3</v>
      </c>
      <c r="L13" s="16"/>
      <c r="M13" s="16"/>
      <c r="N13" s="16"/>
      <c r="O13" s="54" t="s">
        <v>262</v>
      </c>
      <c r="P13" s="7">
        <f>+J10</f>
        <v>1734911</v>
      </c>
      <c r="Q13" s="8" t="s">
        <v>3</v>
      </c>
      <c r="R13" s="16"/>
      <c r="S13" s="16"/>
    </row>
    <row r="14" spans="1:19" ht="14.45" customHeight="1" x14ac:dyDescent="0.25">
      <c r="A14" s="16"/>
      <c r="B14" s="55" t="s">
        <v>67</v>
      </c>
      <c r="C14" s="46">
        <f>C13*(1+'Fane 15. Nøgletal'!C12)^2</f>
        <v>236916.75609459</v>
      </c>
      <c r="D14" s="47" t="s">
        <v>3</v>
      </c>
      <c r="E14" s="16"/>
      <c r="F14" s="16"/>
      <c r="G14" s="16"/>
      <c r="H14" s="16"/>
      <c r="I14" s="55" t="s">
        <v>67</v>
      </c>
      <c r="J14" s="46">
        <f>J13*(1+'Fane 15. Nøgletal'!C12)^2</f>
        <v>2010661.1049709802</v>
      </c>
      <c r="K14" s="47" t="s">
        <v>3</v>
      </c>
      <c r="L14" s="16"/>
      <c r="M14" s="16"/>
      <c r="N14" s="16"/>
      <c r="O14" s="55" t="s">
        <v>66</v>
      </c>
      <c r="P14" s="46">
        <f>SUM(P10:P13)</f>
        <v>2161573</v>
      </c>
      <c r="Q14" s="47" t="s">
        <v>3</v>
      </c>
      <c r="R14" s="16"/>
      <c r="S14" s="16"/>
    </row>
    <row r="15" spans="1:19" ht="26.25" x14ac:dyDescent="0.25">
      <c r="A15" s="16"/>
      <c r="B15" s="64"/>
      <c r="C15" s="65"/>
      <c r="D15" s="65"/>
      <c r="E15" s="16"/>
      <c r="F15" s="16"/>
      <c r="G15" s="16"/>
      <c r="H15" s="16"/>
      <c r="I15" s="64"/>
      <c r="J15" s="65"/>
      <c r="K15" s="65"/>
      <c r="L15" s="16"/>
      <c r="M15" s="16"/>
      <c r="N15" s="16"/>
      <c r="O15" s="55" t="s">
        <v>67</v>
      </c>
      <c r="P15" s="46">
        <f>P14*(1+'Fane 15. Nøgletal'!C12)^2</f>
        <v>2247577.8610655703</v>
      </c>
      <c r="Q15" s="47" t="s">
        <v>3</v>
      </c>
      <c r="R15" s="16"/>
      <c r="S15" s="16"/>
    </row>
    <row r="16" spans="1:19" x14ac:dyDescent="0.25">
      <c r="A16" s="16"/>
      <c r="B16" s="64"/>
      <c r="C16" s="65"/>
      <c r="D16" s="65"/>
      <c r="E16" s="16"/>
      <c r="F16" s="16"/>
      <c r="G16" s="16"/>
      <c r="H16" s="16"/>
      <c r="I16" s="64"/>
      <c r="J16" s="65"/>
      <c r="K16" s="65"/>
      <c r="L16" s="16"/>
      <c r="M16" s="16"/>
      <c r="N16" s="16"/>
      <c r="O16" s="64"/>
      <c r="P16" s="65"/>
      <c r="Q16" s="65"/>
      <c r="R16" s="16"/>
      <c r="S16" s="16"/>
    </row>
    <row r="17" spans="1:19" x14ac:dyDescent="0.25">
      <c r="A17" s="16"/>
      <c r="B17" s="107" t="s">
        <v>230</v>
      </c>
      <c r="C17" s="108"/>
      <c r="D17" s="109"/>
      <c r="E17" s="16"/>
      <c r="F17" s="16"/>
      <c r="G17" s="16"/>
      <c r="H17" s="16"/>
      <c r="I17" s="107" t="s">
        <v>230</v>
      </c>
      <c r="J17" s="108"/>
      <c r="K17" s="109"/>
      <c r="L17" s="16"/>
      <c r="M17" s="16"/>
      <c r="N17" s="16"/>
      <c r="O17" s="107" t="s">
        <v>230</v>
      </c>
      <c r="P17" s="108"/>
      <c r="Q17" s="109"/>
      <c r="R17" s="16"/>
      <c r="S17" s="16"/>
    </row>
    <row r="18" spans="1:19" x14ac:dyDescent="0.25">
      <c r="A18" s="16"/>
      <c r="B18" s="54" t="s">
        <v>194</v>
      </c>
      <c r="C18" s="7">
        <v>0</v>
      </c>
      <c r="D18" s="8" t="s">
        <v>3</v>
      </c>
      <c r="E18" s="16"/>
      <c r="F18" s="16"/>
      <c r="G18" s="16"/>
      <c r="H18" s="16"/>
      <c r="I18" s="54" t="s">
        <v>194</v>
      </c>
      <c r="J18" s="7">
        <v>0</v>
      </c>
      <c r="K18" s="8" t="s">
        <v>3</v>
      </c>
      <c r="L18" s="16"/>
      <c r="M18" s="16"/>
      <c r="N18" s="16"/>
      <c r="O18" s="54" t="s">
        <v>194</v>
      </c>
      <c r="P18" s="7">
        <v>0</v>
      </c>
      <c r="Q18" s="8" t="s">
        <v>3</v>
      </c>
      <c r="R18" s="16"/>
      <c r="S18" s="16"/>
    </row>
    <row r="19" spans="1:19" x14ac:dyDescent="0.25">
      <c r="A19" s="16"/>
      <c r="B19" s="54" t="s">
        <v>195</v>
      </c>
      <c r="C19" s="7">
        <v>0</v>
      </c>
      <c r="D19" s="8" t="s">
        <v>3</v>
      </c>
      <c r="E19" s="16"/>
      <c r="F19" s="16"/>
      <c r="G19" s="16"/>
      <c r="H19" s="16"/>
      <c r="I19" s="54" t="s">
        <v>195</v>
      </c>
      <c r="J19" s="7">
        <v>0</v>
      </c>
      <c r="K19" s="8" t="s">
        <v>3</v>
      </c>
      <c r="L19" s="16"/>
      <c r="M19" s="16"/>
      <c r="N19" s="16"/>
      <c r="O19" s="54" t="s">
        <v>195</v>
      </c>
      <c r="P19" s="7">
        <v>0</v>
      </c>
      <c r="Q19" s="8" t="s">
        <v>3</v>
      </c>
      <c r="R19" s="16"/>
      <c r="S19" s="16"/>
    </row>
    <row r="20" spans="1:19" x14ac:dyDescent="0.25">
      <c r="A20" s="16"/>
      <c r="B20" s="54" t="s">
        <v>196</v>
      </c>
      <c r="C20" s="7">
        <v>0</v>
      </c>
      <c r="D20" s="8" t="s">
        <v>3</v>
      </c>
      <c r="E20" s="16"/>
      <c r="F20" s="16"/>
      <c r="G20" s="16"/>
      <c r="H20" s="16"/>
      <c r="I20" s="54" t="s">
        <v>196</v>
      </c>
      <c r="J20" s="7">
        <v>0</v>
      </c>
      <c r="K20" s="8" t="s">
        <v>3</v>
      </c>
      <c r="L20" s="16"/>
      <c r="M20" s="16"/>
      <c r="N20" s="16"/>
      <c r="O20" s="54" t="s">
        <v>196</v>
      </c>
      <c r="P20" s="7">
        <v>0</v>
      </c>
      <c r="Q20" s="8" t="s">
        <v>3</v>
      </c>
      <c r="R20" s="16"/>
      <c r="S20" s="16"/>
    </row>
    <row r="21" spans="1:19" x14ac:dyDescent="0.25">
      <c r="A21" s="16"/>
      <c r="B21" s="54" t="s">
        <v>197</v>
      </c>
      <c r="C21" s="7">
        <v>0</v>
      </c>
      <c r="D21" s="8" t="s">
        <v>3</v>
      </c>
      <c r="E21" s="16"/>
      <c r="F21" s="16"/>
      <c r="G21" s="16"/>
      <c r="H21" s="16"/>
      <c r="I21" s="54" t="s">
        <v>197</v>
      </c>
      <c r="J21" s="7">
        <v>0</v>
      </c>
      <c r="K21" s="8" t="s">
        <v>3</v>
      </c>
      <c r="L21" s="16"/>
      <c r="M21" s="16"/>
      <c r="N21" s="16"/>
      <c r="O21" s="54" t="s">
        <v>197</v>
      </c>
      <c r="P21" s="7">
        <v>0</v>
      </c>
      <c r="Q21" s="8" t="s">
        <v>3</v>
      </c>
      <c r="R21" s="16"/>
      <c r="S21" s="16"/>
    </row>
    <row r="22" spans="1:19" x14ac:dyDescent="0.25">
      <c r="A22" s="16"/>
      <c r="B22" s="107"/>
      <c r="C22" s="108"/>
      <c r="D22" s="109"/>
      <c r="E22" s="16"/>
      <c r="F22" s="16"/>
      <c r="G22" s="16"/>
      <c r="H22" s="16"/>
      <c r="I22" s="107"/>
      <c r="J22" s="108"/>
      <c r="K22" s="109"/>
      <c r="L22" s="16"/>
      <c r="M22" s="16"/>
      <c r="N22" s="16"/>
      <c r="O22" s="107"/>
      <c r="P22" s="108"/>
      <c r="Q22" s="109"/>
      <c r="R22" s="16"/>
      <c r="S22" s="16"/>
    </row>
    <row r="23" spans="1:19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x14ac:dyDescent="0.25">
      <c r="A25" s="16"/>
      <c r="B25" s="107" t="s">
        <v>193</v>
      </c>
      <c r="C25" s="108"/>
      <c r="D25" s="109"/>
      <c r="E25" s="16"/>
      <c r="F25" s="16"/>
      <c r="G25" s="16"/>
      <c r="H25" s="16"/>
      <c r="I25" s="107" t="s">
        <v>193</v>
      </c>
      <c r="J25" s="108"/>
      <c r="K25" s="109"/>
      <c r="L25" s="16"/>
      <c r="M25" s="16"/>
      <c r="N25" s="16"/>
      <c r="O25" s="107" t="s">
        <v>193</v>
      </c>
      <c r="P25" s="108"/>
      <c r="Q25" s="109"/>
      <c r="R25" s="16"/>
      <c r="S25" s="16"/>
    </row>
    <row r="26" spans="1:19" x14ac:dyDescent="0.25">
      <c r="A26" s="16"/>
      <c r="B26" s="54" t="s">
        <v>194</v>
      </c>
      <c r="C26" s="7">
        <v>0</v>
      </c>
      <c r="D26" s="8" t="s">
        <v>3</v>
      </c>
      <c r="E26" s="16"/>
      <c r="F26" s="16"/>
      <c r="G26" s="16"/>
      <c r="H26" s="16"/>
      <c r="I26" s="54" t="s">
        <v>194</v>
      </c>
      <c r="J26" s="7">
        <v>0</v>
      </c>
      <c r="K26" s="8" t="s">
        <v>3</v>
      </c>
      <c r="L26" s="16"/>
      <c r="M26" s="16"/>
      <c r="N26" s="16"/>
      <c r="O26" s="54" t="s">
        <v>194</v>
      </c>
      <c r="P26" s="7">
        <v>0</v>
      </c>
      <c r="Q26" s="8" t="s">
        <v>3</v>
      </c>
      <c r="R26" s="16"/>
      <c r="S26" s="16"/>
    </row>
    <row r="27" spans="1:19" x14ac:dyDescent="0.25">
      <c r="A27" s="16"/>
      <c r="B27" s="54" t="s">
        <v>195</v>
      </c>
      <c r="C27" s="7">
        <v>0</v>
      </c>
      <c r="D27" s="8" t="s">
        <v>3</v>
      </c>
      <c r="E27" s="16"/>
      <c r="F27" s="16"/>
      <c r="G27" s="16"/>
      <c r="H27" s="16"/>
      <c r="I27" s="54" t="s">
        <v>195</v>
      </c>
      <c r="J27" s="7">
        <v>0</v>
      </c>
      <c r="K27" s="8" t="s">
        <v>3</v>
      </c>
      <c r="L27" s="16"/>
      <c r="M27" s="16"/>
      <c r="N27" s="16"/>
      <c r="O27" s="54" t="s">
        <v>195</v>
      </c>
      <c r="P27" s="7">
        <v>0</v>
      </c>
      <c r="Q27" s="8" t="s">
        <v>3</v>
      </c>
      <c r="R27" s="16"/>
      <c r="S27" s="16"/>
    </row>
    <row r="28" spans="1:19" x14ac:dyDescent="0.25">
      <c r="A28" s="16"/>
      <c r="B28" s="54" t="s">
        <v>196</v>
      </c>
      <c r="C28" s="7">
        <v>0</v>
      </c>
      <c r="D28" s="8" t="s">
        <v>3</v>
      </c>
      <c r="E28" s="16"/>
      <c r="F28" s="16"/>
      <c r="G28" s="16"/>
      <c r="H28" s="16"/>
      <c r="I28" s="54" t="s">
        <v>196</v>
      </c>
      <c r="J28" s="7">
        <v>0</v>
      </c>
      <c r="K28" s="8" t="s">
        <v>3</v>
      </c>
      <c r="L28" s="16"/>
      <c r="M28" s="16"/>
      <c r="N28" s="16"/>
      <c r="O28" s="54" t="s">
        <v>196</v>
      </c>
      <c r="P28" s="7">
        <v>0</v>
      </c>
      <c r="Q28" s="8" t="s">
        <v>3</v>
      </c>
      <c r="R28" s="16"/>
      <c r="S28" s="16"/>
    </row>
    <row r="29" spans="1:19" x14ac:dyDescent="0.25">
      <c r="A29" s="16"/>
      <c r="B29" s="54" t="s">
        <v>197</v>
      </c>
      <c r="C29" s="7">
        <v>0</v>
      </c>
      <c r="D29" s="8" t="s">
        <v>3</v>
      </c>
      <c r="E29" s="16"/>
      <c r="F29" s="16"/>
      <c r="G29" s="16"/>
      <c r="H29" s="16"/>
      <c r="I29" s="54" t="s">
        <v>197</v>
      </c>
      <c r="J29" s="7">
        <v>0</v>
      </c>
      <c r="K29" s="8" t="s">
        <v>3</v>
      </c>
      <c r="L29" s="16"/>
      <c r="M29" s="16"/>
      <c r="N29" s="16"/>
      <c r="O29" s="54" t="s">
        <v>197</v>
      </c>
      <c r="P29" s="7">
        <v>0</v>
      </c>
      <c r="Q29" s="8" t="s">
        <v>3</v>
      </c>
      <c r="R29" s="16"/>
      <c r="S29" s="16"/>
    </row>
    <row r="30" spans="1:19" x14ac:dyDescent="0.25">
      <c r="A30" s="16"/>
      <c r="B30" s="107"/>
      <c r="C30" s="108"/>
      <c r="D30" s="109"/>
      <c r="E30" s="16"/>
      <c r="F30" s="16"/>
      <c r="G30" s="16"/>
      <c r="H30" s="16"/>
      <c r="I30" s="107"/>
      <c r="J30" s="108"/>
      <c r="K30" s="109"/>
      <c r="L30" s="16"/>
      <c r="M30" s="16"/>
      <c r="N30" s="16"/>
      <c r="O30" s="107"/>
      <c r="P30" s="108"/>
      <c r="Q30" s="109"/>
      <c r="R30" s="16"/>
      <c r="S30" s="16"/>
    </row>
    <row r="31" spans="1:19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9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9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9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9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</sheetData>
  <sheetProtection algorithmName="SHA-512" hashValue="GL83+zEKMULYD3wVcRBqrVvPp3eQDlB7JS3QnJjAQ/7Oo8DlJhbsNN6hm4oSNZxMPstsx8mjJCMFgvDcX5aEYg==" saltValue="f2Z0L9XYF3e+uHqHfGNQbg==" spinCount="100000" sheet="1" objects="1" scenarios="1"/>
  <mergeCells count="18">
    <mergeCell ref="I30:K30"/>
    <mergeCell ref="A3:F4"/>
    <mergeCell ref="B30:D30"/>
    <mergeCell ref="B8:D8"/>
    <mergeCell ref="B17:D17"/>
    <mergeCell ref="B25:D25"/>
    <mergeCell ref="B22:D22"/>
    <mergeCell ref="G3:M4"/>
    <mergeCell ref="I8:K8"/>
    <mergeCell ref="I17:K17"/>
    <mergeCell ref="I22:K22"/>
    <mergeCell ref="I25:K25"/>
    <mergeCell ref="O30:Q30"/>
    <mergeCell ref="N3:S4"/>
    <mergeCell ref="O8:Q8"/>
    <mergeCell ref="O17:Q17"/>
    <mergeCell ref="O22:Q22"/>
    <mergeCell ref="O25:Q25"/>
  </mergeCells>
  <pageMargins left="0.52083333333333337" right="0.1111111111111111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K48"/>
  <sheetViews>
    <sheetView showGridLines="0" view="pageLayout" zoomScaleNormal="100" workbookViewId="0">
      <selection activeCell="B17" sqref="B17:D17"/>
    </sheetView>
  </sheetViews>
  <sheetFormatPr defaultColWidth="9.140625" defaultRowHeight="15" x14ac:dyDescent="0.25"/>
  <cols>
    <col min="1" max="1" width="3.5703125" style="2" customWidth="1"/>
    <col min="2" max="3" width="9.140625" style="2"/>
    <col min="4" max="4" width="19.5703125" style="2" customWidth="1"/>
    <col min="5" max="5" width="19.140625" style="2" customWidth="1"/>
    <col min="6" max="6" width="2.7109375" style="2" bestFit="1" customWidth="1"/>
    <col min="7" max="7" width="14.5703125" style="2" customWidth="1"/>
    <col min="8" max="8" width="2.7109375" style="2" bestFit="1" customWidth="1"/>
    <col min="9" max="9" width="10.7109375" style="2" customWidth="1"/>
    <col min="10" max="10" width="3.28515625" style="2" customWidth="1"/>
    <col min="11" max="11" width="2.42578125" style="2" customWidth="1"/>
    <col min="12" max="16384" width="9.14062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25" customHeight="1" x14ac:dyDescent="0.25">
      <c r="A3" s="1"/>
      <c r="B3" s="104" t="s">
        <v>220</v>
      </c>
      <c r="C3" s="104"/>
      <c r="D3" s="104"/>
      <c r="E3" s="104"/>
      <c r="F3" s="104"/>
      <c r="G3" s="104"/>
      <c r="H3" s="104"/>
      <c r="I3" s="104"/>
      <c r="J3" s="104"/>
      <c r="K3" s="1"/>
    </row>
    <row r="4" spans="1:11" ht="15" customHeight="1" x14ac:dyDescent="0.25">
      <c r="A4" s="1"/>
      <c r="B4" s="104"/>
      <c r="C4" s="104"/>
      <c r="D4" s="104"/>
      <c r="E4" s="104"/>
      <c r="F4" s="104"/>
      <c r="G4" s="104"/>
      <c r="H4" s="104"/>
      <c r="I4" s="104"/>
      <c r="J4" s="104"/>
      <c r="K4" s="1"/>
    </row>
    <row r="5" spans="1:11" ht="15" customHeight="1" x14ac:dyDescent="0.25">
      <c r="A5" s="1"/>
      <c r="B5" s="33"/>
      <c r="C5" s="33"/>
      <c r="D5" s="33"/>
      <c r="E5" s="33"/>
      <c r="F5" s="40"/>
      <c r="G5" s="40"/>
      <c r="H5" s="40"/>
      <c r="I5" s="40"/>
      <c r="J5" s="33"/>
      <c r="K5" s="1"/>
    </row>
    <row r="6" spans="1:11" ht="15" customHeight="1" x14ac:dyDescent="0.25">
      <c r="A6" s="1"/>
      <c r="B6" s="33"/>
      <c r="C6" s="33"/>
      <c r="D6" s="33"/>
      <c r="E6" s="33"/>
      <c r="F6" s="40"/>
      <c r="G6" s="40"/>
      <c r="H6" s="40"/>
      <c r="I6" s="40"/>
      <c r="J6" s="33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8.35" customHeight="1" x14ac:dyDescent="0.25">
      <c r="A8" s="1"/>
      <c r="B8" s="107" t="s">
        <v>180</v>
      </c>
      <c r="C8" s="108"/>
      <c r="D8" s="108"/>
      <c r="E8" s="50" t="s">
        <v>263</v>
      </c>
      <c r="F8" s="25"/>
      <c r="G8" s="50" t="s">
        <v>264</v>
      </c>
      <c r="H8" s="25"/>
      <c r="I8" s="25" t="s">
        <v>259</v>
      </c>
      <c r="J8" s="18"/>
      <c r="K8" s="1"/>
    </row>
    <row r="9" spans="1:11" x14ac:dyDescent="0.25">
      <c r="A9" s="1"/>
      <c r="B9" s="133" t="s">
        <v>181</v>
      </c>
      <c r="C9" s="134"/>
      <c r="D9" s="135"/>
      <c r="E9" s="9">
        <v>79633273.852777183</v>
      </c>
      <c r="F9" s="14" t="s">
        <v>3</v>
      </c>
      <c r="G9" s="9">
        <v>22356050.605601553</v>
      </c>
      <c r="H9" s="14" t="s">
        <v>3</v>
      </c>
      <c r="I9" s="9">
        <f>+E9+G9</f>
        <v>101989324.45837873</v>
      </c>
      <c r="J9" s="14" t="s">
        <v>3</v>
      </c>
      <c r="K9" s="1"/>
    </row>
    <row r="10" spans="1:11" x14ac:dyDescent="0.25">
      <c r="A10" s="1"/>
      <c r="B10" s="133" t="s">
        <v>182</v>
      </c>
      <c r="C10" s="134"/>
      <c r="D10" s="135"/>
      <c r="E10" s="9">
        <v>57819362</v>
      </c>
      <c r="F10" s="14" t="s">
        <v>3</v>
      </c>
      <c r="G10" s="9">
        <v>21605749</v>
      </c>
      <c r="H10" s="14" t="s">
        <v>3</v>
      </c>
      <c r="I10" s="9">
        <f t="shared" ref="I10:I11" si="0">+E10+G10</f>
        <v>79425111</v>
      </c>
      <c r="J10" s="14" t="s">
        <v>3</v>
      </c>
      <c r="K10" s="1"/>
    </row>
    <row r="11" spans="1:11" ht="28.35" customHeight="1" x14ac:dyDescent="0.25">
      <c r="A11" s="1"/>
      <c r="B11" s="113" t="s">
        <v>48</v>
      </c>
      <c r="C11" s="114"/>
      <c r="D11" s="115"/>
      <c r="E11" s="9">
        <v>0</v>
      </c>
      <c r="F11" s="14" t="s">
        <v>3</v>
      </c>
      <c r="G11" s="9">
        <v>0</v>
      </c>
      <c r="H11" s="14" t="s">
        <v>3</v>
      </c>
      <c r="I11" s="9">
        <f t="shared" si="0"/>
        <v>0</v>
      </c>
      <c r="J11" s="14" t="s">
        <v>3</v>
      </c>
      <c r="K11" s="1"/>
    </row>
    <row r="12" spans="1:11" x14ac:dyDescent="0.25">
      <c r="A12" s="1"/>
      <c r="B12" s="130" t="s">
        <v>183</v>
      </c>
      <c r="C12" s="131"/>
      <c r="D12" s="132"/>
      <c r="E12" s="10">
        <f>E9-(E10-E11)</f>
        <v>21813911.852777183</v>
      </c>
      <c r="F12" s="15" t="s">
        <v>3</v>
      </c>
      <c r="G12" s="10">
        <f>G9-(G10-G11)</f>
        <v>750301.60560155287</v>
      </c>
      <c r="H12" s="15" t="s">
        <v>3</v>
      </c>
      <c r="I12" s="10">
        <f>I9-(I10-I11)</f>
        <v>22564213.458378732</v>
      </c>
      <c r="J12" s="15" t="s">
        <v>3</v>
      </c>
      <c r="K12" s="1"/>
    </row>
    <row r="13" spans="1:11" x14ac:dyDescent="0.25">
      <c r="A13" s="1"/>
      <c r="B13" s="28"/>
      <c r="C13" s="25"/>
      <c r="D13" s="25"/>
      <c r="E13" s="25"/>
      <c r="F13" s="25"/>
      <c r="G13" s="25"/>
      <c r="H13" s="25"/>
      <c r="I13" s="25"/>
      <c r="J13" s="18"/>
      <c r="K13" s="1"/>
    </row>
    <row r="14" spans="1:11" ht="27" customHeight="1" x14ac:dyDescent="0.25">
      <c r="A14" s="1"/>
      <c r="B14" s="113" t="s">
        <v>205</v>
      </c>
      <c r="C14" s="114"/>
      <c r="D14" s="114"/>
      <c r="E14" s="114"/>
      <c r="F14" s="114"/>
      <c r="G14" s="114"/>
      <c r="H14" s="114"/>
      <c r="I14" s="114"/>
      <c r="J14" s="115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8.35" customHeight="1" x14ac:dyDescent="0.25">
      <c r="A17" s="1"/>
      <c r="B17" s="107" t="s">
        <v>71</v>
      </c>
      <c r="C17" s="108"/>
      <c r="D17" s="108"/>
      <c r="E17" s="50" t="s">
        <v>263</v>
      </c>
      <c r="F17" s="25"/>
      <c r="G17" s="50" t="s">
        <v>264</v>
      </c>
      <c r="H17" s="25"/>
      <c r="I17" s="25" t="s">
        <v>259</v>
      </c>
      <c r="J17" s="18"/>
      <c r="K17" s="1"/>
    </row>
    <row r="18" spans="1:11" x14ac:dyDescent="0.25">
      <c r="A18" s="1"/>
      <c r="B18" s="133" t="s">
        <v>72</v>
      </c>
      <c r="C18" s="134"/>
      <c r="D18" s="135"/>
      <c r="E18" s="9">
        <v>101694728.40213127</v>
      </c>
      <c r="F18" s="14" t="s">
        <v>3</v>
      </c>
      <c r="G18" s="9">
        <v>21192912.529788233</v>
      </c>
      <c r="H18" s="14" t="s">
        <v>3</v>
      </c>
      <c r="I18" s="9">
        <f>+G18+E18</f>
        <v>122887640.93191952</v>
      </c>
      <c r="J18" s="14" t="s">
        <v>3</v>
      </c>
      <c r="K18" s="1"/>
    </row>
    <row r="19" spans="1:11" x14ac:dyDescent="0.25">
      <c r="A19" s="1"/>
      <c r="B19" s="133" t="s">
        <v>73</v>
      </c>
      <c r="C19" s="134"/>
      <c r="D19" s="135"/>
      <c r="E19" s="9">
        <v>63434022</v>
      </c>
      <c r="F19" s="14" t="s">
        <v>3</v>
      </c>
      <c r="G19" s="9">
        <v>25345542</v>
      </c>
      <c r="H19" s="14" t="s">
        <v>3</v>
      </c>
      <c r="I19" s="9">
        <f t="shared" ref="I19:I20" si="1">+G19+E19</f>
        <v>88779564</v>
      </c>
      <c r="J19" s="14" t="s">
        <v>3</v>
      </c>
      <c r="K19" s="1"/>
    </row>
    <row r="20" spans="1:11" ht="28.35" customHeight="1" x14ac:dyDescent="0.25">
      <c r="A20" s="1"/>
      <c r="B20" s="113" t="s">
        <v>48</v>
      </c>
      <c r="C20" s="114"/>
      <c r="D20" s="115"/>
      <c r="E20" s="9">
        <v>0</v>
      </c>
      <c r="F20" s="14" t="s">
        <v>3</v>
      </c>
      <c r="G20" s="9">
        <v>0</v>
      </c>
      <c r="H20" s="14" t="s">
        <v>3</v>
      </c>
      <c r="I20" s="9">
        <f t="shared" si="1"/>
        <v>0</v>
      </c>
      <c r="J20" s="14" t="s">
        <v>3</v>
      </c>
      <c r="K20" s="1"/>
    </row>
    <row r="21" spans="1:11" x14ac:dyDescent="0.25">
      <c r="A21" s="1"/>
      <c r="B21" s="130" t="s">
        <v>74</v>
      </c>
      <c r="C21" s="131"/>
      <c r="D21" s="132"/>
      <c r="E21" s="10">
        <f>E18-(E19-E20)</f>
        <v>38260706.402131274</v>
      </c>
      <c r="F21" s="15" t="s">
        <v>3</v>
      </c>
      <c r="G21" s="10">
        <f>G18-(G19-G20)</f>
        <v>-4152629.4702117667</v>
      </c>
      <c r="H21" s="15" t="s">
        <v>3</v>
      </c>
      <c r="I21" s="10">
        <f>I18-(I19-I20)</f>
        <v>34108076.931919515</v>
      </c>
      <c r="J21" s="15" t="s">
        <v>3</v>
      </c>
      <c r="K21" s="1"/>
    </row>
    <row r="22" spans="1:11" x14ac:dyDescent="0.25">
      <c r="A22" s="1"/>
      <c r="B22" s="28"/>
      <c r="C22" s="25"/>
      <c r="D22" s="25"/>
      <c r="E22" s="25"/>
      <c r="F22" s="25"/>
      <c r="G22" s="25"/>
      <c r="H22" s="25"/>
      <c r="I22" s="25"/>
      <c r="J22" s="18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7.95" customHeight="1" x14ac:dyDescent="0.25">
      <c r="A25" s="1"/>
      <c r="B25" s="107" t="s">
        <v>176</v>
      </c>
      <c r="C25" s="108"/>
      <c r="D25" s="108"/>
      <c r="E25" s="25"/>
      <c r="F25" s="25"/>
      <c r="G25" s="25"/>
      <c r="H25" s="25"/>
      <c r="I25" s="25" t="s">
        <v>259</v>
      </c>
      <c r="J25" s="18"/>
      <c r="K25" s="1"/>
    </row>
    <row r="26" spans="1:11" x14ac:dyDescent="0.25">
      <c r="A26" s="1"/>
      <c r="B26" s="145" t="s">
        <v>171</v>
      </c>
      <c r="C26" s="146"/>
      <c r="D26" s="146"/>
      <c r="E26" s="146"/>
      <c r="F26" s="146"/>
      <c r="G26" s="146"/>
      <c r="H26" s="147"/>
      <c r="I26" s="9">
        <f>IF(I12+I21&lt;0,I12+I21,0)</f>
        <v>0</v>
      </c>
      <c r="J26" s="14" t="s">
        <v>3</v>
      </c>
      <c r="K26" s="1"/>
    </row>
    <row r="27" spans="1:11" x14ac:dyDescent="0.25">
      <c r="A27" s="1"/>
      <c r="B27" s="142" t="s">
        <v>201</v>
      </c>
      <c r="C27" s="143"/>
      <c r="D27" s="143"/>
      <c r="E27" s="143"/>
      <c r="F27" s="143"/>
      <c r="G27" s="143"/>
      <c r="H27" s="144"/>
      <c r="I27" s="9">
        <v>2</v>
      </c>
      <c r="J27" s="14" t="s">
        <v>27</v>
      </c>
      <c r="K27" s="1"/>
    </row>
    <row r="28" spans="1:11" x14ac:dyDescent="0.25">
      <c r="A28" s="1"/>
      <c r="B28" s="139" t="s">
        <v>245</v>
      </c>
      <c r="C28" s="140"/>
      <c r="D28" s="140"/>
      <c r="E28" s="140"/>
      <c r="F28" s="140"/>
      <c r="G28" s="140"/>
      <c r="H28" s="141"/>
      <c r="I28" s="10">
        <f>I26/I27</f>
        <v>0</v>
      </c>
      <c r="J28" s="15" t="s">
        <v>3</v>
      </c>
      <c r="K28" s="1"/>
    </row>
    <row r="29" spans="1:11" x14ac:dyDescent="0.25">
      <c r="A29" s="1"/>
      <c r="B29" s="136"/>
      <c r="C29" s="137"/>
      <c r="D29" s="137"/>
      <c r="E29" s="137"/>
      <c r="F29" s="137"/>
      <c r="G29" s="137"/>
      <c r="H29" s="137"/>
      <c r="I29" s="137"/>
      <c r="J29" s="138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sheetProtection algorithmName="SHA-512" hashValue="ddDImTilgXn4fiml+ZQyXMb4UrZdD22ukptPKYZ5uCFYX2DTHLyqLqG6rWsMUrs69Xxyq+b9/0O8mHrU5zlGaw==" saltValue="RC2Rws3B4mz9IO3GcWb70g==" spinCount="100000" sheet="1" objects="1" scenarios="1"/>
  <mergeCells count="17">
    <mergeCell ref="B29:J29"/>
    <mergeCell ref="B25:D25"/>
    <mergeCell ref="B28:H28"/>
    <mergeCell ref="B27:H27"/>
    <mergeCell ref="B26:H26"/>
    <mergeCell ref="B21:D21"/>
    <mergeCell ref="B3:J4"/>
    <mergeCell ref="B18:D18"/>
    <mergeCell ref="B19:D19"/>
    <mergeCell ref="B20:D20"/>
    <mergeCell ref="B9:D9"/>
    <mergeCell ref="B10:D10"/>
    <mergeCell ref="B11:D11"/>
    <mergeCell ref="B12:D12"/>
    <mergeCell ref="B14:J14"/>
    <mergeCell ref="B17:D17"/>
    <mergeCell ref="B8:D8"/>
  </mergeCells>
  <pageMargins left="0.31944444444444442" right="0.27777777777777779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topLeftCell="A4" zoomScaleNormal="100" workbookViewId="0">
      <selection activeCell="B7" sqref="B7:F8"/>
    </sheetView>
  </sheetViews>
  <sheetFormatPr defaultColWidth="9.140625" defaultRowHeight="15" x14ac:dyDescent="0.25"/>
  <cols>
    <col min="1" max="1" width="3.5703125" style="48" customWidth="1"/>
    <col min="2" max="3" width="9.140625" style="48"/>
    <col min="4" max="4" width="45.5703125" style="48" customWidth="1"/>
    <col min="5" max="5" width="12.7109375" style="48" bestFit="1" customWidth="1"/>
    <col min="6" max="6" width="3.28515625" style="48" customWidth="1"/>
    <col min="7" max="7" width="2.42578125" style="48" customWidth="1"/>
    <col min="8" max="16384" width="9.140625" style="48"/>
  </cols>
  <sheetData>
    <row r="1" spans="1:7" x14ac:dyDescent="0.25">
      <c r="A1" s="16"/>
      <c r="B1" s="16"/>
      <c r="C1" s="16"/>
      <c r="D1" s="16"/>
      <c r="E1" s="16"/>
      <c r="F1" s="16"/>
      <c r="G1" s="16"/>
    </row>
    <row r="2" spans="1:7" x14ac:dyDescent="0.25">
      <c r="A2" s="16"/>
      <c r="B2" s="16"/>
      <c r="C2" s="16"/>
      <c r="D2" s="16"/>
      <c r="E2" s="16"/>
      <c r="F2" s="16"/>
      <c r="G2" s="16"/>
    </row>
    <row r="3" spans="1:7" ht="29.25" customHeight="1" x14ac:dyDescent="0.25">
      <c r="A3" s="16"/>
      <c r="B3" s="104" t="s">
        <v>246</v>
      </c>
      <c r="C3" s="104"/>
      <c r="D3" s="104"/>
      <c r="E3" s="104"/>
      <c r="F3" s="104"/>
      <c r="G3" s="16"/>
    </row>
    <row r="4" spans="1:7" ht="15" customHeight="1" x14ac:dyDescent="0.25">
      <c r="A4" s="16"/>
      <c r="B4" s="104"/>
      <c r="C4" s="104"/>
      <c r="D4" s="104"/>
      <c r="E4" s="104"/>
      <c r="F4" s="104"/>
      <c r="G4" s="16"/>
    </row>
    <row r="5" spans="1:7" x14ac:dyDescent="0.25">
      <c r="A5" s="16"/>
      <c r="B5" s="16"/>
      <c r="C5" s="16"/>
      <c r="D5" s="16"/>
      <c r="E5" s="16"/>
      <c r="F5" s="16"/>
      <c r="G5" s="16"/>
    </row>
    <row r="6" spans="1:7" x14ac:dyDescent="0.25">
      <c r="A6" s="16"/>
      <c r="B6" s="16"/>
      <c r="C6" s="16"/>
      <c r="D6" s="16"/>
      <c r="E6" s="16"/>
      <c r="F6" s="16"/>
      <c r="G6" s="16"/>
    </row>
    <row r="7" spans="1:7" x14ac:dyDescent="0.25">
      <c r="A7" s="16"/>
      <c r="B7" s="148" t="s">
        <v>263</v>
      </c>
      <c r="C7" s="149"/>
      <c r="D7" s="149"/>
      <c r="E7" s="149"/>
      <c r="F7" s="149"/>
      <c r="G7" s="16"/>
    </row>
    <row r="8" spans="1:7" ht="0.6" customHeight="1" x14ac:dyDescent="0.25">
      <c r="A8" s="16"/>
      <c r="B8" s="150"/>
      <c r="C8" s="151"/>
      <c r="D8" s="151"/>
      <c r="E8" s="151"/>
      <c r="F8" s="151"/>
      <c r="G8" s="16"/>
    </row>
    <row r="9" spans="1:7" ht="15" customHeight="1" x14ac:dyDescent="0.25">
      <c r="A9" s="16"/>
      <c r="B9" s="107" t="s">
        <v>174</v>
      </c>
      <c r="C9" s="108"/>
      <c r="D9" s="108"/>
      <c r="E9" s="108"/>
      <c r="F9" s="108"/>
      <c r="G9" s="16"/>
    </row>
    <row r="10" spans="1:7" x14ac:dyDescent="0.25">
      <c r="A10" s="16"/>
      <c r="B10" s="113" t="s">
        <v>198</v>
      </c>
      <c r="C10" s="114"/>
      <c r="D10" s="115"/>
      <c r="E10" s="7">
        <v>0</v>
      </c>
      <c r="F10" s="8" t="s">
        <v>3</v>
      </c>
      <c r="G10" s="16"/>
    </row>
    <row r="11" spans="1:7" x14ac:dyDescent="0.25">
      <c r="A11" s="16"/>
      <c r="B11" s="113" t="s">
        <v>199</v>
      </c>
      <c r="C11" s="114"/>
      <c r="D11" s="115"/>
      <c r="E11" s="7">
        <v>0</v>
      </c>
      <c r="F11" s="8" t="s">
        <v>3</v>
      </c>
      <c r="G11" s="16"/>
    </row>
    <row r="12" spans="1:7" x14ac:dyDescent="0.25">
      <c r="A12" s="16"/>
      <c r="B12" s="110" t="s">
        <v>200</v>
      </c>
      <c r="C12" s="111"/>
      <c r="D12" s="112"/>
      <c r="E12" s="44">
        <f>E11-E10</f>
        <v>0</v>
      </c>
      <c r="F12" s="11" t="s">
        <v>3</v>
      </c>
      <c r="G12" s="16"/>
    </row>
    <row r="13" spans="1:7" x14ac:dyDescent="0.25">
      <c r="A13" s="16"/>
      <c r="B13" s="107" t="s">
        <v>175</v>
      </c>
      <c r="C13" s="108"/>
      <c r="D13" s="108"/>
      <c r="E13" s="108"/>
      <c r="F13" s="108"/>
      <c r="G13" s="16"/>
    </row>
    <row r="14" spans="1:7" x14ac:dyDescent="0.25">
      <c r="A14" s="16"/>
      <c r="B14" s="113" t="s">
        <v>207</v>
      </c>
      <c r="C14" s="114"/>
      <c r="D14" s="115"/>
      <c r="E14" s="7">
        <v>0</v>
      </c>
      <c r="F14" s="8" t="s">
        <v>3</v>
      </c>
      <c r="G14" s="16"/>
    </row>
    <row r="15" spans="1:7" x14ac:dyDescent="0.25">
      <c r="A15" s="16"/>
      <c r="B15" s="113" t="s">
        <v>208</v>
      </c>
      <c r="C15" s="114"/>
      <c r="D15" s="115"/>
      <c r="E15" s="7">
        <v>0</v>
      </c>
      <c r="F15" s="8" t="s">
        <v>3</v>
      </c>
      <c r="G15" s="16"/>
    </row>
    <row r="16" spans="1:7" x14ac:dyDescent="0.25">
      <c r="A16" s="16"/>
      <c r="B16" s="110" t="s">
        <v>200</v>
      </c>
      <c r="C16" s="111"/>
      <c r="D16" s="112"/>
      <c r="E16" s="44">
        <f>E15-E14</f>
        <v>0</v>
      </c>
      <c r="F16" s="11" t="s">
        <v>3</v>
      </c>
      <c r="G16" s="16"/>
    </row>
    <row r="17" spans="1:7" ht="15" customHeight="1" x14ac:dyDescent="0.25">
      <c r="A17" s="16"/>
      <c r="B17" s="107" t="s">
        <v>170</v>
      </c>
      <c r="C17" s="108"/>
      <c r="D17" s="108"/>
      <c r="E17" s="108"/>
      <c r="F17" s="108"/>
      <c r="G17" s="16"/>
    </row>
    <row r="18" spans="1:7" ht="28.15" customHeight="1" x14ac:dyDescent="0.25">
      <c r="A18" s="16"/>
      <c r="B18" s="113" t="s">
        <v>251</v>
      </c>
      <c r="C18" s="114"/>
      <c r="D18" s="115"/>
      <c r="E18" s="7">
        <v>0</v>
      </c>
      <c r="F18" s="8" t="s">
        <v>3</v>
      </c>
      <c r="G18" s="16"/>
    </row>
    <row r="19" spans="1:7" ht="29.25" customHeight="1" x14ac:dyDescent="0.25">
      <c r="A19" s="16"/>
      <c r="B19" s="110" t="s">
        <v>179</v>
      </c>
      <c r="C19" s="111"/>
      <c r="D19" s="112"/>
      <c r="E19" s="44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6"/>
    </row>
    <row r="20" spans="1:7" ht="26.25" x14ac:dyDescent="0.25">
      <c r="A20" s="16"/>
      <c r="B20" s="107" t="s">
        <v>191</v>
      </c>
      <c r="C20" s="108"/>
      <c r="D20" s="109"/>
      <c r="E20" s="46">
        <f>E12+E16+E19</f>
        <v>0</v>
      </c>
      <c r="F20" s="47" t="s">
        <v>3</v>
      </c>
      <c r="G20" s="16"/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ht="11.45" customHeight="1" x14ac:dyDescent="0.25">
      <c r="A22" s="16"/>
      <c r="B22" s="148" t="s">
        <v>264</v>
      </c>
      <c r="C22" s="149"/>
      <c r="D22" s="149"/>
      <c r="E22" s="149"/>
      <c r="F22" s="149"/>
      <c r="G22" s="16"/>
    </row>
    <row r="23" spans="1:7" ht="2.1" customHeight="1" x14ac:dyDescent="0.25">
      <c r="A23" s="16"/>
      <c r="B23" s="150"/>
      <c r="C23" s="151"/>
      <c r="D23" s="151"/>
      <c r="E23" s="151"/>
      <c r="F23" s="151"/>
      <c r="G23" s="16"/>
    </row>
    <row r="24" spans="1:7" x14ac:dyDescent="0.25">
      <c r="A24" s="16"/>
      <c r="B24" s="107" t="s">
        <v>174</v>
      </c>
      <c r="C24" s="108"/>
      <c r="D24" s="108"/>
      <c r="E24" s="108"/>
      <c r="F24" s="108"/>
      <c r="G24" s="16"/>
    </row>
    <row r="25" spans="1:7" x14ac:dyDescent="0.25">
      <c r="A25" s="16"/>
      <c r="B25" s="113" t="s">
        <v>198</v>
      </c>
      <c r="C25" s="114"/>
      <c r="D25" s="115"/>
      <c r="E25" s="7">
        <v>0</v>
      </c>
      <c r="F25" s="8" t="s">
        <v>3</v>
      </c>
      <c r="G25" s="16"/>
    </row>
    <row r="26" spans="1:7" x14ac:dyDescent="0.25">
      <c r="A26" s="16"/>
      <c r="B26" s="113" t="s">
        <v>199</v>
      </c>
      <c r="C26" s="114"/>
      <c r="D26" s="115"/>
      <c r="E26" s="7">
        <v>0</v>
      </c>
      <c r="F26" s="8" t="s">
        <v>3</v>
      </c>
      <c r="G26" s="16"/>
    </row>
    <row r="27" spans="1:7" x14ac:dyDescent="0.25">
      <c r="A27" s="16"/>
      <c r="B27" s="110" t="s">
        <v>200</v>
      </c>
      <c r="C27" s="111"/>
      <c r="D27" s="112"/>
      <c r="E27" s="44">
        <f>E26-E25</f>
        <v>0</v>
      </c>
      <c r="F27" s="11" t="s">
        <v>3</v>
      </c>
      <c r="G27" s="16"/>
    </row>
    <row r="28" spans="1:7" x14ac:dyDescent="0.25">
      <c r="A28" s="16"/>
      <c r="B28" s="107" t="s">
        <v>175</v>
      </c>
      <c r="C28" s="108"/>
      <c r="D28" s="108"/>
      <c r="E28" s="108"/>
      <c r="F28" s="108"/>
      <c r="G28" s="16"/>
    </row>
    <row r="29" spans="1:7" x14ac:dyDescent="0.25">
      <c r="A29" s="16"/>
      <c r="B29" s="113" t="s">
        <v>207</v>
      </c>
      <c r="C29" s="114"/>
      <c r="D29" s="115"/>
      <c r="E29" s="7">
        <v>0</v>
      </c>
      <c r="F29" s="8" t="s">
        <v>3</v>
      </c>
      <c r="G29" s="16"/>
    </row>
    <row r="30" spans="1:7" x14ac:dyDescent="0.25">
      <c r="A30" s="16"/>
      <c r="B30" s="113" t="s">
        <v>208</v>
      </c>
      <c r="C30" s="114"/>
      <c r="D30" s="115"/>
      <c r="E30" s="7">
        <v>0</v>
      </c>
      <c r="F30" s="8" t="s">
        <v>3</v>
      </c>
      <c r="G30" s="16"/>
    </row>
    <row r="31" spans="1:7" x14ac:dyDescent="0.25">
      <c r="A31" s="16"/>
      <c r="B31" s="110" t="s">
        <v>200</v>
      </c>
      <c r="C31" s="111"/>
      <c r="D31" s="112"/>
      <c r="E31" s="44">
        <f>E30-E29</f>
        <v>0</v>
      </c>
      <c r="F31" s="11" t="s">
        <v>3</v>
      </c>
      <c r="G31" s="16"/>
    </row>
    <row r="32" spans="1:7" x14ac:dyDescent="0.25">
      <c r="A32" s="16"/>
      <c r="B32" s="107" t="s">
        <v>170</v>
      </c>
      <c r="C32" s="108"/>
      <c r="D32" s="108"/>
      <c r="E32" s="108"/>
      <c r="F32" s="108"/>
      <c r="G32" s="16"/>
    </row>
    <row r="33" spans="1:7" ht="27.95" customHeight="1" x14ac:dyDescent="0.25">
      <c r="A33" s="16"/>
      <c r="B33" s="113" t="s">
        <v>251</v>
      </c>
      <c r="C33" s="114"/>
      <c r="D33" s="115"/>
      <c r="E33" s="7">
        <v>0</v>
      </c>
      <c r="F33" s="8" t="s">
        <v>3</v>
      </c>
      <c r="G33" s="16"/>
    </row>
    <row r="34" spans="1:7" ht="28.5" customHeight="1" x14ac:dyDescent="0.25">
      <c r="A34" s="16"/>
      <c r="B34" s="110" t="s">
        <v>179</v>
      </c>
      <c r="C34" s="111"/>
      <c r="D34" s="112"/>
      <c r="E34" s="44">
        <f>IF('Fane 3. Omkostninger i ØR2019'!E43-'Fane 3. Omkostninger i ØR2019'!E43/(1+'Fane 15. Nøgletal'!C26)^2+E33&lt;0,-('Fane 3. Omkostninger i ØR2019'!E43-'Fane 3. Omkostninger i ØR2019'!E43/(1+'Fane 15. Nøgletal'!C26)^2+E33),0)</f>
        <v>0</v>
      </c>
      <c r="F34" s="11" t="s">
        <v>3</v>
      </c>
      <c r="G34" s="16"/>
    </row>
    <row r="35" spans="1:7" ht="26.25" x14ac:dyDescent="0.25">
      <c r="A35" s="16"/>
      <c r="B35" s="107" t="s">
        <v>191</v>
      </c>
      <c r="C35" s="108"/>
      <c r="D35" s="109"/>
      <c r="E35" s="46">
        <f>E27+E31+E34</f>
        <v>0</v>
      </c>
      <c r="F35" s="47" t="s">
        <v>3</v>
      </c>
      <c r="G35" s="16"/>
    </row>
    <row r="36" spans="1:7" x14ac:dyDescent="0.25">
      <c r="A36" s="16"/>
      <c r="B36" s="16"/>
      <c r="C36" s="16"/>
      <c r="D36" s="16"/>
      <c r="E36" s="16"/>
      <c r="F36" s="16"/>
      <c r="G36" s="16"/>
    </row>
    <row r="37" spans="1:7" x14ac:dyDescent="0.25">
      <c r="A37" s="16"/>
      <c r="B37" s="16"/>
      <c r="C37" s="16"/>
      <c r="D37" s="16"/>
      <c r="E37" s="16"/>
      <c r="F37" s="16"/>
      <c r="G37" s="16"/>
    </row>
    <row r="38" spans="1:7" x14ac:dyDescent="0.25">
      <c r="A38" s="16"/>
      <c r="B38" s="16"/>
      <c r="C38" s="16"/>
      <c r="D38" s="16"/>
      <c r="E38" s="16"/>
      <c r="F38" s="16"/>
      <c r="G38" s="16"/>
    </row>
    <row r="39" spans="1:7" x14ac:dyDescent="0.25">
      <c r="A39" s="16"/>
      <c r="B39" s="16"/>
      <c r="C39" s="16"/>
      <c r="D39" s="16"/>
      <c r="E39" s="16"/>
      <c r="F39" s="16"/>
      <c r="G39" s="16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16"/>
      <c r="B43" s="16"/>
      <c r="C43" s="16"/>
      <c r="D43" s="16"/>
      <c r="E43" s="16"/>
      <c r="F43" s="16"/>
      <c r="G43" s="16"/>
    </row>
    <row r="44" spans="1:7" x14ac:dyDescent="0.25">
      <c r="A44" s="16"/>
      <c r="B44" s="16"/>
      <c r="C44" s="16"/>
      <c r="D44" s="16"/>
      <c r="E44" s="16"/>
      <c r="F44" s="16"/>
      <c r="G44" s="16"/>
    </row>
    <row r="45" spans="1:7" x14ac:dyDescent="0.25">
      <c r="A45" s="16"/>
      <c r="B45" s="16"/>
      <c r="C45" s="16"/>
      <c r="D45" s="16"/>
      <c r="E45" s="16"/>
      <c r="F45" s="16"/>
      <c r="G45" s="16"/>
    </row>
    <row r="46" spans="1:7" x14ac:dyDescent="0.25">
      <c r="A46" s="16"/>
      <c r="B46" s="16"/>
      <c r="C46" s="16"/>
      <c r="D46" s="16"/>
      <c r="E46" s="16"/>
      <c r="F46" s="16"/>
      <c r="G46" s="16"/>
    </row>
    <row r="47" spans="1:7" x14ac:dyDescent="0.25">
      <c r="A47" s="16"/>
      <c r="B47" s="16"/>
      <c r="C47" s="16"/>
      <c r="D47" s="16"/>
      <c r="E47" s="16"/>
      <c r="F47" s="16"/>
      <c r="G47" s="16"/>
    </row>
    <row r="48" spans="1:7" x14ac:dyDescent="0.25">
      <c r="A48" s="16"/>
      <c r="B48" s="16"/>
      <c r="C48" s="16"/>
      <c r="D48" s="16"/>
      <c r="E48" s="16"/>
      <c r="F48" s="16"/>
      <c r="G48" s="16"/>
    </row>
    <row r="49" spans="1:7" x14ac:dyDescent="0.25">
      <c r="A49" s="16"/>
      <c r="B49" s="16"/>
      <c r="C49" s="16"/>
      <c r="D49" s="16"/>
      <c r="E49" s="16"/>
      <c r="F49" s="16"/>
      <c r="G49" s="16"/>
    </row>
  </sheetData>
  <sheetProtection algorithmName="SHA-512" hashValue="9uH2PFuGnE4AkGWsqlKDHdo7cnFA10OyiPDhFqeLmc1dN81sO8H32AjwmQAQaUq4xanHGJp4IMZyLhw8zX3q1w==" saltValue="crNQLOAvSZaN+NjYzfvcvQ==" spinCount="100000" sheet="1" objects="1" scenarios="1"/>
  <mergeCells count="27">
    <mergeCell ref="B35:D35"/>
    <mergeCell ref="B20:D20"/>
    <mergeCell ref="B13:F13"/>
    <mergeCell ref="B17:F17"/>
    <mergeCell ref="B16:D16"/>
    <mergeCell ref="B19:D19"/>
    <mergeCell ref="B18:D18"/>
    <mergeCell ref="B22:F23"/>
    <mergeCell ref="B24:F24"/>
    <mergeCell ref="B25:D25"/>
    <mergeCell ref="B26:D26"/>
    <mergeCell ref="B27:D27"/>
    <mergeCell ref="B33:D33"/>
    <mergeCell ref="B34:D34"/>
    <mergeCell ref="B28:F28"/>
    <mergeCell ref="B29:D29"/>
    <mergeCell ref="B30:D30"/>
    <mergeCell ref="B31:D31"/>
    <mergeCell ref="B32:F32"/>
    <mergeCell ref="B3:F4"/>
    <mergeCell ref="B10:D10"/>
    <mergeCell ref="B11:D11"/>
    <mergeCell ref="B14:D14"/>
    <mergeCell ref="B15:D15"/>
    <mergeCell ref="B9:F9"/>
    <mergeCell ref="B12:D12"/>
    <mergeCell ref="B7:F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>
      <selection activeCell="B16" sqref="B16:D16"/>
    </sheetView>
  </sheetViews>
  <sheetFormatPr defaultColWidth="9.140625" defaultRowHeight="15" x14ac:dyDescent="0.25"/>
  <cols>
    <col min="1" max="1" width="4.7109375" style="2" customWidth="1"/>
    <col min="2" max="2" width="23.140625" style="2" customWidth="1"/>
    <col min="3" max="3" width="8.28515625" style="2" customWidth="1"/>
    <col min="4" max="4" width="11.28515625" style="2" customWidth="1"/>
    <col min="5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05" t="s">
        <v>247</v>
      </c>
      <c r="C3" s="105"/>
      <c r="D3" s="105"/>
      <c r="E3" s="105"/>
      <c r="F3" s="105"/>
      <c r="G3" s="105"/>
      <c r="H3" s="105"/>
      <c r="I3" s="1"/>
    </row>
    <row r="4" spans="1:9" ht="15" customHeight="1" x14ac:dyDescent="0.25">
      <c r="A4" s="1"/>
      <c r="B4" s="105"/>
      <c r="C4" s="105"/>
      <c r="D4" s="105"/>
      <c r="E4" s="105"/>
      <c r="F4" s="105"/>
      <c r="G4" s="105"/>
      <c r="H4" s="10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52" t="s">
        <v>269</v>
      </c>
      <c r="C8" s="153"/>
      <c r="D8" s="153"/>
      <c r="E8" s="153"/>
      <c r="F8" s="153"/>
      <c r="G8" s="153"/>
      <c r="H8" s="154"/>
      <c r="I8" s="1"/>
    </row>
    <row r="9" spans="1:9" ht="39.75" customHeight="1" x14ac:dyDescent="0.25">
      <c r="A9" s="1"/>
      <c r="B9" s="17" t="s">
        <v>0</v>
      </c>
      <c r="C9" s="17" t="s">
        <v>1</v>
      </c>
      <c r="D9" s="17" t="s">
        <v>14</v>
      </c>
      <c r="E9" s="11" t="s">
        <v>2</v>
      </c>
      <c r="F9" s="11" t="s">
        <v>16</v>
      </c>
      <c r="G9" s="11" t="s">
        <v>45</v>
      </c>
      <c r="H9" s="27"/>
      <c r="I9" s="1"/>
    </row>
    <row r="10" spans="1:9" x14ac:dyDescent="0.25">
      <c r="A10" s="1"/>
      <c r="B10" s="37" t="s">
        <v>257</v>
      </c>
      <c r="C10" s="38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107" t="s">
        <v>248</v>
      </c>
      <c r="C11" s="108"/>
      <c r="D11" s="10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52" t="s">
        <v>270</v>
      </c>
      <c r="C13" s="153"/>
      <c r="D13" s="153"/>
      <c r="E13" s="153"/>
      <c r="F13" s="153"/>
      <c r="G13" s="153"/>
      <c r="H13" s="154"/>
      <c r="I13" s="1"/>
    </row>
    <row r="14" spans="1:9" ht="39" x14ac:dyDescent="0.25">
      <c r="A14" s="1"/>
      <c r="B14" s="17" t="s">
        <v>0</v>
      </c>
      <c r="C14" s="17" t="s">
        <v>1</v>
      </c>
      <c r="D14" s="17" t="s">
        <v>14</v>
      </c>
      <c r="E14" s="11" t="s">
        <v>2</v>
      </c>
      <c r="F14" s="11" t="s">
        <v>16</v>
      </c>
      <c r="G14" s="11" t="s">
        <v>45</v>
      </c>
      <c r="H14" s="27"/>
      <c r="I14" s="1"/>
    </row>
    <row r="15" spans="1:9" x14ac:dyDescent="0.25">
      <c r="A15" s="1"/>
      <c r="B15" s="43" t="s">
        <v>257</v>
      </c>
      <c r="C15" s="38"/>
      <c r="D15" s="9"/>
      <c r="E15" s="9"/>
      <c r="F15" s="9"/>
      <c r="G15" s="9"/>
      <c r="H15" s="14" t="s">
        <v>3</v>
      </c>
      <c r="I15" s="1"/>
    </row>
    <row r="16" spans="1:9" x14ac:dyDescent="0.25">
      <c r="A16" s="1"/>
      <c r="B16" s="107" t="s">
        <v>248</v>
      </c>
      <c r="C16" s="108"/>
      <c r="D16" s="109"/>
      <c r="E16" s="12">
        <f>SUM(E15:E15)</f>
        <v>0</v>
      </c>
      <c r="F16" s="12">
        <f>SUM(F15:F15)</f>
        <v>0</v>
      </c>
      <c r="G16" s="12">
        <f>SUM(G15:G15)</f>
        <v>0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nTsmmJueSFniu70fDZYxf6qGVkp0one0tZfwCuGAcOPVaSZVNsbwvvzgbKnlAv3WjC+gLC2f6d1/cr5/5DO6Q==" saltValue="Id3DuwO9dFPfVazBkSKuNg==" spinCount="100000" sheet="1" objects="1" scenarios="1"/>
  <mergeCells count="5">
    <mergeCell ref="B3:H4"/>
    <mergeCell ref="B11:D11"/>
    <mergeCell ref="B8:H8"/>
    <mergeCell ref="B13:H13"/>
    <mergeCell ref="B16:D16"/>
  </mergeCells>
  <pageMargins left="0.7" right="0.55555555555555558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>
      <selection activeCell="B19" sqref="B19"/>
    </sheetView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5" t="s">
        <v>219</v>
      </c>
      <c r="C3" s="105"/>
      <c r="D3" s="105"/>
      <c r="E3" s="105"/>
      <c r="F3" s="105"/>
      <c r="G3" s="1"/>
    </row>
    <row r="4" spans="1:7" ht="15" customHeight="1" x14ac:dyDescent="0.25">
      <c r="A4" s="1"/>
      <c r="B4" s="105"/>
      <c r="C4" s="105"/>
      <c r="D4" s="105"/>
      <c r="E4" s="105"/>
      <c r="F4" s="10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28" t="s">
        <v>271</v>
      </c>
      <c r="C8" s="25"/>
      <c r="D8" s="25"/>
      <c r="E8" s="25"/>
      <c r="F8" s="18"/>
      <c r="G8" s="1"/>
    </row>
    <row r="9" spans="1:7" ht="17.25" customHeight="1" x14ac:dyDescent="0.25">
      <c r="A9" s="1"/>
      <c r="B9" s="34" t="s">
        <v>24</v>
      </c>
      <c r="C9" s="34" t="s">
        <v>16</v>
      </c>
      <c r="D9" s="35"/>
      <c r="E9" s="34" t="s">
        <v>46</v>
      </c>
      <c r="F9" s="27"/>
      <c r="G9" s="1"/>
    </row>
    <row r="10" spans="1:7" x14ac:dyDescent="0.25">
      <c r="A10" s="1"/>
      <c r="B10" s="22" t="s">
        <v>258</v>
      </c>
      <c r="C10" s="20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9" t="s">
        <v>255</v>
      </c>
      <c r="C11" s="20">
        <v>0</v>
      </c>
      <c r="D11" s="14" t="s">
        <v>3</v>
      </c>
      <c r="E11" s="9">
        <v>6775</v>
      </c>
      <c r="F11" s="14" t="s">
        <v>3</v>
      </c>
      <c r="G11" s="1"/>
    </row>
    <row r="12" spans="1:7" x14ac:dyDescent="0.25">
      <c r="A12" s="1"/>
      <c r="B12" s="28" t="s">
        <v>58</v>
      </c>
      <c r="C12" s="12">
        <f>SUM(C10:C11)</f>
        <v>0</v>
      </c>
      <c r="D12" s="13" t="s">
        <v>3</v>
      </c>
      <c r="E12" s="12">
        <f>SUM(E10:E11)</f>
        <v>6775</v>
      </c>
      <c r="F12" s="13" t="s">
        <v>3</v>
      </c>
      <c r="G12" s="1"/>
    </row>
    <row r="13" spans="1:7" x14ac:dyDescent="0.25">
      <c r="A13" s="1"/>
      <c r="B13" s="28" t="s">
        <v>68</v>
      </c>
      <c r="C13" s="12">
        <f>C12*(1+'Fane 15. Nøgletal'!C12)</f>
        <v>0</v>
      </c>
      <c r="D13" s="13" t="s">
        <v>3</v>
      </c>
      <c r="E13" s="12">
        <f>E12*(1+'Fane 15. Nøgletal'!C12)</f>
        <v>6908.4675000000007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28" t="s">
        <v>272</v>
      </c>
      <c r="C15" s="25"/>
      <c r="D15" s="25"/>
      <c r="E15" s="25"/>
      <c r="F15" s="18"/>
      <c r="G15" s="1"/>
    </row>
    <row r="16" spans="1:7" x14ac:dyDescent="0.25">
      <c r="A16" s="1"/>
      <c r="B16" s="41" t="s">
        <v>24</v>
      </c>
      <c r="C16" s="41" t="s">
        <v>16</v>
      </c>
      <c r="D16" s="42"/>
      <c r="E16" s="41" t="s">
        <v>46</v>
      </c>
      <c r="F16" s="27"/>
      <c r="G16" s="1"/>
    </row>
    <row r="17" spans="1:7" x14ac:dyDescent="0.25">
      <c r="A17" s="1"/>
      <c r="B17" s="22" t="s">
        <v>258</v>
      </c>
      <c r="C17" s="20">
        <f>'Fane 9. Anlægsprojekter'!F18</f>
        <v>0</v>
      </c>
      <c r="D17" s="14" t="s">
        <v>3</v>
      </c>
      <c r="E17" s="9">
        <f>SUM('Fane 9. Anlægsprojekter'!E18,'Fane 9. Anlægsprojekter'!G18)</f>
        <v>0</v>
      </c>
      <c r="F17" s="14" t="s">
        <v>3</v>
      </c>
      <c r="G17" s="1"/>
    </row>
    <row r="18" spans="1:7" x14ac:dyDescent="0.25">
      <c r="A18" s="1"/>
      <c r="B18" s="28" t="s">
        <v>58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28" t="s">
        <v>68</v>
      </c>
      <c r="C19" s="12">
        <f>C18*(1+'Fane 15. Nøgletal'!C19)</f>
        <v>0</v>
      </c>
      <c r="D19" s="13" t="s">
        <v>3</v>
      </c>
      <c r="E19" s="12">
        <f>E18*(1+'Fane 15. Nøgletal'!C12)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c+2jMjWjVEXzugoza+iEIDjp8Vnm6MfYD8gLhGghnRi7TGyokzUuOJXAdKSodQb/TXmAJZEDYWxidnLjG8R2A==" saltValue="+eug979ujs8X9sm01syt3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N42"/>
  <sheetViews>
    <sheetView showGridLines="0" view="pageLayout" zoomScaleNormal="100" workbookViewId="0">
      <selection activeCell="E27" sqref="E27"/>
    </sheetView>
  </sheetViews>
  <sheetFormatPr defaultColWidth="9.140625" defaultRowHeight="15" x14ac:dyDescent="0.25"/>
  <cols>
    <col min="1" max="1" width="5.140625" style="48" customWidth="1"/>
    <col min="2" max="2" width="34.42578125" style="48" customWidth="1"/>
    <col min="3" max="3" width="16.28515625" style="48" customWidth="1"/>
    <col min="4" max="4" width="3.42578125" style="48" bestFit="1" customWidth="1"/>
    <col min="5" max="5" width="17.7109375" style="48" bestFit="1" customWidth="1"/>
    <col min="6" max="6" width="3.28515625" style="48" customWidth="1"/>
    <col min="7" max="7" width="5.140625" style="48" customWidth="1"/>
    <col min="8" max="8" width="9.140625" style="48"/>
    <col min="9" max="9" width="39.28515625" style="48" customWidth="1"/>
    <col min="10" max="10" width="12.140625" style="48" customWidth="1"/>
    <col min="11" max="11" width="3.28515625" style="48" customWidth="1"/>
    <col min="12" max="12" width="11.42578125" style="48" customWidth="1"/>
    <col min="13" max="13" width="3.7109375" style="48" customWidth="1"/>
    <col min="14" max="14" width="7.7109375" style="48" customWidth="1"/>
    <col min="15" max="16384" width="9.140625" style="48"/>
  </cols>
  <sheetData>
    <row r="1" spans="1:14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" customHeight="1" x14ac:dyDescent="0.25">
      <c r="A3" s="16"/>
      <c r="B3" s="104" t="s">
        <v>274</v>
      </c>
      <c r="C3" s="104"/>
      <c r="D3" s="104"/>
      <c r="E3" s="104"/>
      <c r="F3" s="104"/>
      <c r="G3" s="16"/>
      <c r="H3" s="16"/>
      <c r="I3" s="104" t="s">
        <v>273</v>
      </c>
      <c r="J3" s="104"/>
      <c r="K3" s="104"/>
      <c r="L3" s="104"/>
      <c r="M3" s="104"/>
      <c r="N3" s="16"/>
    </row>
    <row r="4" spans="1:14" ht="15" customHeight="1" x14ac:dyDescent="0.25">
      <c r="A4" s="16"/>
      <c r="B4" s="104"/>
      <c r="C4" s="104"/>
      <c r="D4" s="104"/>
      <c r="E4" s="104"/>
      <c r="F4" s="104"/>
      <c r="G4" s="16"/>
      <c r="H4" s="16"/>
      <c r="I4" s="104"/>
      <c r="J4" s="104"/>
      <c r="K4" s="104"/>
      <c r="L4" s="104"/>
      <c r="M4" s="104"/>
      <c r="N4" s="16"/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6"/>
      <c r="B8" s="107" t="s">
        <v>184</v>
      </c>
      <c r="C8" s="108"/>
      <c r="D8" s="108"/>
      <c r="E8" s="108"/>
      <c r="F8" s="109"/>
      <c r="G8" s="16"/>
      <c r="H8" s="16"/>
      <c r="I8" s="107" t="s">
        <v>184</v>
      </c>
      <c r="J8" s="108"/>
      <c r="K8" s="108"/>
      <c r="L8" s="108"/>
      <c r="M8" s="109"/>
      <c r="N8" s="16"/>
    </row>
    <row r="9" spans="1:14" x14ac:dyDescent="0.25">
      <c r="A9" s="16"/>
      <c r="B9" s="51" t="s">
        <v>24</v>
      </c>
      <c r="C9" s="51" t="s">
        <v>16</v>
      </c>
      <c r="D9" s="52"/>
      <c r="E9" s="51" t="s">
        <v>46</v>
      </c>
      <c r="F9" s="27"/>
      <c r="G9" s="16"/>
      <c r="H9" s="16"/>
      <c r="I9" s="51" t="s">
        <v>24</v>
      </c>
      <c r="J9" s="121" t="s">
        <v>16</v>
      </c>
      <c r="K9" s="123"/>
      <c r="L9" s="121" t="s">
        <v>46</v>
      </c>
      <c r="M9" s="123"/>
      <c r="N9" s="16"/>
    </row>
    <row r="10" spans="1:14" x14ac:dyDescent="0.25">
      <c r="A10" s="16"/>
      <c r="B10" s="66" t="s">
        <v>256</v>
      </c>
      <c r="C10" s="7">
        <v>0</v>
      </c>
      <c r="D10" s="8" t="s">
        <v>3</v>
      </c>
      <c r="E10" s="7">
        <v>0</v>
      </c>
      <c r="F10" s="8" t="s">
        <v>3</v>
      </c>
      <c r="G10" s="16"/>
      <c r="H10" s="16"/>
      <c r="I10" s="66" t="s">
        <v>256</v>
      </c>
      <c r="J10" s="7">
        <v>0</v>
      </c>
      <c r="K10" s="8" t="s">
        <v>3</v>
      </c>
      <c r="L10" s="7">
        <v>0</v>
      </c>
      <c r="M10" s="8" t="s">
        <v>3</v>
      </c>
      <c r="N10" s="16"/>
    </row>
    <row r="11" spans="1:14" ht="15.75" customHeight="1" x14ac:dyDescent="0.25">
      <c r="A11" s="16"/>
      <c r="B11" s="55" t="s">
        <v>188</v>
      </c>
      <c r="C11" s="46">
        <f>SUM(C10:C10)</f>
        <v>0</v>
      </c>
      <c r="D11" s="47" t="s">
        <v>3</v>
      </c>
      <c r="E11" s="46">
        <f>SUM(E10:E10)</f>
        <v>0</v>
      </c>
      <c r="F11" s="47" t="s">
        <v>3</v>
      </c>
      <c r="G11" s="16"/>
      <c r="H11" s="16"/>
      <c r="I11" s="55" t="s">
        <v>188</v>
      </c>
      <c r="J11" s="46">
        <f>SUM(J10:J10)</f>
        <v>0</v>
      </c>
      <c r="K11" s="47" t="s">
        <v>3</v>
      </c>
      <c r="L11" s="46">
        <f>SUM(L10:L10)</f>
        <v>0</v>
      </c>
      <c r="M11" s="47" t="s">
        <v>3</v>
      </c>
      <c r="N11" s="16"/>
    </row>
    <row r="12" spans="1:14" x14ac:dyDescent="0.25">
      <c r="A12" s="16"/>
      <c r="B12" s="67" t="s">
        <v>10</v>
      </c>
      <c r="C12" s="68">
        <f>-C11*'Fane 5. Individuelt eff. krav'!G11</f>
        <v>0</v>
      </c>
      <c r="D12" s="69" t="s">
        <v>3</v>
      </c>
      <c r="E12" s="68">
        <f>-E11*'Fane 5. Individuelt eff. krav'!G11</f>
        <v>0</v>
      </c>
      <c r="F12" s="69" t="s">
        <v>3</v>
      </c>
      <c r="G12" s="16"/>
      <c r="H12" s="16"/>
      <c r="I12" s="67" t="s">
        <v>10</v>
      </c>
      <c r="J12" s="68">
        <f>-J11*'Fane 5. Individuelt eff. krav'!N11</f>
        <v>0</v>
      </c>
      <c r="K12" s="69" t="s">
        <v>3</v>
      </c>
      <c r="L12" s="68">
        <f>-L11*'Fane 5. Individuelt eff. krav'!N11</f>
        <v>0</v>
      </c>
      <c r="M12" s="69" t="s">
        <v>3</v>
      </c>
      <c r="N12" s="16"/>
    </row>
    <row r="13" spans="1:14" x14ac:dyDescent="0.25">
      <c r="A13" s="16"/>
      <c r="B13" s="67" t="s">
        <v>192</v>
      </c>
      <c r="C13" s="68">
        <f>-C11*'Fane 15. Nøgletal'!C25</f>
        <v>0</v>
      </c>
      <c r="D13" s="69" t="s">
        <v>3</v>
      </c>
      <c r="E13" s="68">
        <f>-E11*'Fane 15. Nøgletal'!C20</f>
        <v>0</v>
      </c>
      <c r="F13" s="69" t="s">
        <v>3</v>
      </c>
      <c r="G13" s="16"/>
      <c r="H13" s="16"/>
      <c r="I13" s="67" t="s">
        <v>192</v>
      </c>
      <c r="J13" s="68">
        <f>-J11*'Fane 15. Nøgletal'!J25</f>
        <v>0</v>
      </c>
      <c r="K13" s="69" t="s">
        <v>3</v>
      </c>
      <c r="L13" s="68">
        <f>-L11*'Fane 15. Nøgletal'!J20</f>
        <v>0</v>
      </c>
      <c r="M13" s="69" t="s">
        <v>3</v>
      </c>
      <c r="N13" s="16"/>
    </row>
    <row r="14" spans="1:14" ht="14.25" customHeight="1" x14ac:dyDescent="0.25">
      <c r="A14" s="16"/>
      <c r="B14" s="55" t="s">
        <v>189</v>
      </c>
      <c r="C14" s="46">
        <f>SUM(C11:C13)*(1+'Fane 15. Nøgletal'!C12)^2</f>
        <v>0</v>
      </c>
      <c r="D14" s="47" t="s">
        <v>3</v>
      </c>
      <c r="E14" s="46">
        <f>SUM(E11:E13)*(1+'Fane 15. Nøgletal'!C12)^2</f>
        <v>0</v>
      </c>
      <c r="F14" s="47" t="s">
        <v>3</v>
      </c>
      <c r="G14" s="16"/>
      <c r="H14" s="16"/>
      <c r="I14" s="55" t="s">
        <v>189</v>
      </c>
      <c r="J14" s="46">
        <f>SUM(J11:J13)*(1+'Fane 15. Nøgletal'!J12)^2</f>
        <v>0</v>
      </c>
      <c r="K14" s="47" t="s">
        <v>3</v>
      </c>
      <c r="L14" s="46">
        <f>SUM(L11:L13)*(1+'Fane 15. Nøgletal'!J12)^2</f>
        <v>0</v>
      </c>
      <c r="M14" s="47" t="s">
        <v>3</v>
      </c>
      <c r="N14" s="16"/>
    </row>
    <row r="15" spans="1:14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25">
      <c r="A16" s="16"/>
      <c r="B16" s="107" t="s">
        <v>185</v>
      </c>
      <c r="C16" s="108"/>
      <c r="D16" s="108"/>
      <c r="E16" s="108"/>
      <c r="F16" s="109"/>
      <c r="G16" s="16"/>
      <c r="H16" s="16"/>
      <c r="I16" s="107" t="s">
        <v>185</v>
      </c>
      <c r="J16" s="108"/>
      <c r="K16" s="108"/>
      <c r="L16" s="108"/>
      <c r="M16" s="109"/>
      <c r="N16" s="16"/>
    </row>
    <row r="17" spans="1:14" x14ac:dyDescent="0.25">
      <c r="A17" s="16"/>
      <c r="B17" s="51" t="s">
        <v>24</v>
      </c>
      <c r="C17" s="51" t="s">
        <v>16</v>
      </c>
      <c r="D17" s="52"/>
      <c r="E17" s="51" t="s">
        <v>46</v>
      </c>
      <c r="F17" s="27"/>
      <c r="G17" s="16"/>
      <c r="H17" s="16"/>
      <c r="I17" s="51" t="s">
        <v>24</v>
      </c>
      <c r="J17" s="121" t="s">
        <v>16</v>
      </c>
      <c r="K17" s="123"/>
      <c r="L17" s="121" t="s">
        <v>46</v>
      </c>
      <c r="M17" s="123"/>
      <c r="N17" s="16"/>
    </row>
    <row r="18" spans="1:14" x14ac:dyDescent="0.25">
      <c r="A18" s="16"/>
      <c r="B18" s="66" t="s">
        <v>256</v>
      </c>
      <c r="C18" s="7">
        <v>0</v>
      </c>
      <c r="D18" s="8" t="s">
        <v>3</v>
      </c>
      <c r="E18" s="7">
        <v>0</v>
      </c>
      <c r="F18" s="8" t="s">
        <v>3</v>
      </c>
      <c r="G18" s="16"/>
      <c r="H18" s="16"/>
      <c r="I18" s="66" t="s">
        <v>256</v>
      </c>
      <c r="J18" s="7">
        <v>0</v>
      </c>
      <c r="K18" s="8" t="s">
        <v>3</v>
      </c>
      <c r="L18" s="7">
        <v>0</v>
      </c>
      <c r="M18" s="8" t="s">
        <v>3</v>
      </c>
      <c r="N18" s="16"/>
    </row>
    <row r="19" spans="1:14" ht="17.25" customHeight="1" x14ac:dyDescent="0.25">
      <c r="A19" s="16"/>
      <c r="B19" s="55" t="s">
        <v>188</v>
      </c>
      <c r="C19" s="46">
        <f>SUM(C18:C18)</f>
        <v>0</v>
      </c>
      <c r="D19" s="47" t="s">
        <v>3</v>
      </c>
      <c r="E19" s="46">
        <f>SUM(E18:E18)</f>
        <v>0</v>
      </c>
      <c r="F19" s="47" t="s">
        <v>3</v>
      </c>
      <c r="G19" s="16"/>
      <c r="H19" s="16"/>
      <c r="I19" s="55" t="s">
        <v>188</v>
      </c>
      <c r="J19" s="46">
        <f>SUM(J18:J18)</f>
        <v>0</v>
      </c>
      <c r="K19" s="47" t="s">
        <v>3</v>
      </c>
      <c r="L19" s="46">
        <f>SUM(L18:L18)</f>
        <v>0</v>
      </c>
      <c r="M19" s="47" t="s">
        <v>3</v>
      </c>
      <c r="N19" s="16"/>
    </row>
    <row r="20" spans="1:14" x14ac:dyDescent="0.25">
      <c r="A20" s="16"/>
      <c r="B20" s="67" t="s">
        <v>10</v>
      </c>
      <c r="C20" s="68">
        <f>-C19*'Fane 5. Individuelt eff. krav'!G11</f>
        <v>0</v>
      </c>
      <c r="D20" s="69" t="s">
        <v>3</v>
      </c>
      <c r="E20" s="68">
        <f>-E19*'Fane 5. Individuelt eff. krav'!G11</f>
        <v>0</v>
      </c>
      <c r="F20" s="69" t="s">
        <v>3</v>
      </c>
      <c r="G20" s="16"/>
      <c r="H20" s="16"/>
      <c r="I20" s="67" t="s">
        <v>10</v>
      </c>
      <c r="J20" s="68">
        <f>-J19*'Fane 5. Individuelt eff. krav'!N11</f>
        <v>0</v>
      </c>
      <c r="K20" s="69" t="s">
        <v>3</v>
      </c>
      <c r="L20" s="68">
        <f>-L19*'Fane 5. Individuelt eff. krav'!N11</f>
        <v>0</v>
      </c>
      <c r="M20" s="69" t="s">
        <v>3</v>
      </c>
      <c r="N20" s="16"/>
    </row>
    <row r="21" spans="1:14" x14ac:dyDescent="0.25">
      <c r="A21" s="16"/>
      <c r="B21" s="67" t="s">
        <v>192</v>
      </c>
      <c r="C21" s="68">
        <f>-C19*'Fane 15. Nøgletal'!C25</f>
        <v>0</v>
      </c>
      <c r="D21" s="69" t="s">
        <v>3</v>
      </c>
      <c r="E21" s="68">
        <f>-E19*'Fane 15. Nøgletal'!C20</f>
        <v>0</v>
      </c>
      <c r="F21" s="69" t="s">
        <v>3</v>
      </c>
      <c r="G21" s="16"/>
      <c r="H21" s="16"/>
      <c r="I21" s="67" t="s">
        <v>192</v>
      </c>
      <c r="J21" s="68">
        <f>-J19*'Fane 15. Nøgletal'!J25</f>
        <v>0</v>
      </c>
      <c r="K21" s="69" t="s">
        <v>3</v>
      </c>
      <c r="L21" s="68">
        <f>-L19*'Fane 15. Nøgletal'!J20</f>
        <v>0</v>
      </c>
      <c r="M21" s="69" t="s">
        <v>3</v>
      </c>
      <c r="N21" s="16"/>
    </row>
    <row r="22" spans="1:14" ht="15" customHeight="1" x14ac:dyDescent="0.25">
      <c r="A22" s="16"/>
      <c r="B22" s="55" t="s">
        <v>190</v>
      </c>
      <c r="C22" s="46">
        <f>SUM(C19:C21)*(1+'Fane 15. Nøgletal'!C12)^3</f>
        <v>0</v>
      </c>
      <c r="D22" s="47" t="s">
        <v>3</v>
      </c>
      <c r="E22" s="46">
        <f>SUM(E19:E21)*(1+'Fane 15. Nøgletal'!C12)^3</f>
        <v>0</v>
      </c>
      <c r="F22" s="47" t="s">
        <v>3</v>
      </c>
      <c r="G22" s="16"/>
      <c r="H22" s="16"/>
      <c r="I22" s="55" t="s">
        <v>190</v>
      </c>
      <c r="J22" s="46">
        <f>SUM(J19:J21)*(1+'Fane 15. Nøgletal'!J12)^3</f>
        <v>0</v>
      </c>
      <c r="K22" s="47" t="s">
        <v>3</v>
      </c>
      <c r="L22" s="46">
        <f>SUM(L19:L21)*(1+'Fane 15. Nøgletal'!J12)^3</f>
        <v>0</v>
      </c>
      <c r="M22" s="47" t="s">
        <v>3</v>
      </c>
      <c r="N22" s="16"/>
    </row>
    <row r="23" spans="1:14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5">
      <c r="A24" s="16"/>
      <c r="B24" s="107" t="s">
        <v>186</v>
      </c>
      <c r="C24" s="108"/>
      <c r="D24" s="108"/>
      <c r="E24" s="108"/>
      <c r="F24" s="109"/>
      <c r="G24" s="16"/>
      <c r="H24" s="16"/>
      <c r="I24" s="107" t="s">
        <v>186</v>
      </c>
      <c r="J24" s="108"/>
      <c r="K24" s="108"/>
      <c r="L24" s="108"/>
      <c r="M24" s="109"/>
      <c r="N24" s="16"/>
    </row>
    <row r="25" spans="1:14" x14ac:dyDescent="0.25">
      <c r="A25" s="16"/>
      <c r="B25" s="51" t="s">
        <v>24</v>
      </c>
      <c r="C25" s="51" t="s">
        <v>16</v>
      </c>
      <c r="D25" s="52"/>
      <c r="E25" s="51" t="s">
        <v>46</v>
      </c>
      <c r="F25" s="27"/>
      <c r="G25" s="16"/>
      <c r="H25" s="16"/>
      <c r="I25" s="51" t="s">
        <v>24</v>
      </c>
      <c r="J25" s="121" t="s">
        <v>16</v>
      </c>
      <c r="K25" s="123"/>
      <c r="L25" s="121" t="s">
        <v>46</v>
      </c>
      <c r="M25" s="123"/>
      <c r="N25" s="16"/>
    </row>
    <row r="26" spans="1:14" x14ac:dyDescent="0.25">
      <c r="A26" s="16"/>
      <c r="B26" s="66" t="s">
        <v>256</v>
      </c>
      <c r="C26" s="7">
        <v>0</v>
      </c>
      <c r="D26" s="8" t="s">
        <v>3</v>
      </c>
      <c r="E26" s="7">
        <v>0</v>
      </c>
      <c r="F26" s="8" t="s">
        <v>3</v>
      </c>
      <c r="G26" s="16"/>
      <c r="H26" s="16"/>
      <c r="I26" s="66" t="s">
        <v>256</v>
      </c>
      <c r="J26" s="7">
        <v>0</v>
      </c>
      <c r="K26" s="8" t="s">
        <v>3</v>
      </c>
      <c r="L26" s="7">
        <v>0</v>
      </c>
      <c r="M26" s="8" t="s">
        <v>3</v>
      </c>
      <c r="N26" s="16"/>
    </row>
    <row r="27" spans="1:14" ht="14.25" customHeight="1" x14ac:dyDescent="0.25">
      <c r="A27" s="16"/>
      <c r="B27" s="55" t="s">
        <v>188</v>
      </c>
      <c r="C27" s="46">
        <f>SUM(C26:C26)</f>
        <v>0</v>
      </c>
      <c r="D27" s="47" t="s">
        <v>3</v>
      </c>
      <c r="E27" s="46">
        <f>SUM(E26:E26)</f>
        <v>0</v>
      </c>
      <c r="F27" s="47" t="s">
        <v>3</v>
      </c>
      <c r="G27" s="16"/>
      <c r="H27" s="16"/>
      <c r="I27" s="55" t="s">
        <v>188</v>
      </c>
      <c r="J27" s="46">
        <f>SUM(J26:J26)</f>
        <v>0</v>
      </c>
      <c r="K27" s="47" t="s">
        <v>3</v>
      </c>
      <c r="L27" s="46">
        <f>SUM(L26:L26)</f>
        <v>0</v>
      </c>
      <c r="M27" s="47" t="s">
        <v>3</v>
      </c>
      <c r="N27" s="16"/>
    </row>
    <row r="28" spans="1:14" x14ac:dyDescent="0.25">
      <c r="A28" s="16"/>
      <c r="B28" s="67" t="s">
        <v>10</v>
      </c>
      <c r="C28" s="68">
        <f>-C27*'Fane 5. Individuelt eff. krav'!G11</f>
        <v>0</v>
      </c>
      <c r="D28" s="69" t="s">
        <v>3</v>
      </c>
      <c r="E28" s="68">
        <f>-E27*'Fane 5. Individuelt eff. krav'!G11</f>
        <v>0</v>
      </c>
      <c r="F28" s="69" t="s">
        <v>3</v>
      </c>
      <c r="G28" s="16"/>
      <c r="H28" s="16"/>
      <c r="I28" s="67" t="s">
        <v>10</v>
      </c>
      <c r="J28" s="68">
        <f>-J27*'Fane 5. Individuelt eff. krav'!N11</f>
        <v>0</v>
      </c>
      <c r="K28" s="69" t="s">
        <v>3</v>
      </c>
      <c r="L28" s="68">
        <f>-L27*'Fane 5. Individuelt eff. krav'!N11</f>
        <v>0</v>
      </c>
      <c r="M28" s="69" t="s">
        <v>3</v>
      </c>
      <c r="N28" s="16"/>
    </row>
    <row r="29" spans="1:14" x14ac:dyDescent="0.25">
      <c r="A29" s="16"/>
      <c r="B29" s="67" t="s">
        <v>192</v>
      </c>
      <c r="C29" s="68">
        <f>-C27*'Fane 15. Nøgletal'!C25</f>
        <v>0</v>
      </c>
      <c r="D29" s="69" t="s">
        <v>3</v>
      </c>
      <c r="E29" s="68">
        <f>-E27*'Fane 15. Nøgletal'!C20</f>
        <v>0</v>
      </c>
      <c r="F29" s="69" t="s">
        <v>3</v>
      </c>
      <c r="G29" s="16"/>
      <c r="H29" s="16"/>
      <c r="I29" s="67" t="s">
        <v>192</v>
      </c>
      <c r="J29" s="68">
        <f>-J27*'Fane 15. Nøgletal'!J25</f>
        <v>0</v>
      </c>
      <c r="K29" s="69" t="s">
        <v>3</v>
      </c>
      <c r="L29" s="68">
        <f>-L27*'Fane 15. Nøgletal'!J20</f>
        <v>0</v>
      </c>
      <c r="M29" s="69" t="s">
        <v>3</v>
      </c>
      <c r="N29" s="16"/>
    </row>
    <row r="30" spans="1:14" ht="15" customHeight="1" x14ac:dyDescent="0.25">
      <c r="A30" s="16"/>
      <c r="B30" s="55" t="s">
        <v>190</v>
      </c>
      <c r="C30" s="46">
        <f>SUM(C27:C29)*(1+'Fane 15. Nøgletal'!C12)^4</f>
        <v>0</v>
      </c>
      <c r="D30" s="47" t="s">
        <v>3</v>
      </c>
      <c r="E30" s="46">
        <f>SUM(E27:E29)*(1+'Fane 15. Nøgletal'!C12)^4</f>
        <v>0</v>
      </c>
      <c r="F30" s="47" t="s">
        <v>3</v>
      </c>
      <c r="G30" s="16"/>
      <c r="H30" s="16"/>
      <c r="I30" s="55" t="s">
        <v>190</v>
      </c>
      <c r="J30" s="46">
        <f>SUM(J27:J29)*(1+'Fane 15. Nøgletal'!J12)^4</f>
        <v>0</v>
      </c>
      <c r="K30" s="47" t="s">
        <v>3</v>
      </c>
      <c r="L30" s="46">
        <f>SUM(L27:L29)*(1+'Fane 15. Nøgletal'!J12)^4</f>
        <v>0</v>
      </c>
      <c r="M30" s="47" t="s">
        <v>3</v>
      </c>
      <c r="N30" s="16"/>
    </row>
    <row r="31" spans="1:14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16"/>
      <c r="B32" s="107" t="s">
        <v>187</v>
      </c>
      <c r="C32" s="108"/>
      <c r="D32" s="108"/>
      <c r="E32" s="108"/>
      <c r="F32" s="109"/>
      <c r="G32" s="16"/>
      <c r="H32" s="16"/>
      <c r="I32" s="107" t="s">
        <v>187</v>
      </c>
      <c r="J32" s="108"/>
      <c r="K32" s="108"/>
      <c r="L32" s="108"/>
      <c r="M32" s="109"/>
      <c r="N32" s="16"/>
    </row>
    <row r="33" spans="1:14" x14ac:dyDescent="0.25">
      <c r="A33" s="16"/>
      <c r="B33" s="51" t="s">
        <v>24</v>
      </c>
      <c r="C33" s="51" t="s">
        <v>16</v>
      </c>
      <c r="D33" s="52"/>
      <c r="E33" s="51" t="s">
        <v>46</v>
      </c>
      <c r="F33" s="27"/>
      <c r="G33" s="16"/>
      <c r="H33" s="16"/>
      <c r="I33" s="51" t="s">
        <v>24</v>
      </c>
      <c r="J33" s="121" t="s">
        <v>16</v>
      </c>
      <c r="K33" s="123"/>
      <c r="L33" s="121" t="s">
        <v>46</v>
      </c>
      <c r="M33" s="123"/>
      <c r="N33" s="16"/>
    </row>
    <row r="34" spans="1:14" x14ac:dyDescent="0.25">
      <c r="A34" s="16"/>
      <c r="B34" s="66" t="s">
        <v>256</v>
      </c>
      <c r="C34" s="7">
        <v>0</v>
      </c>
      <c r="D34" s="8" t="s">
        <v>3</v>
      </c>
      <c r="E34" s="7">
        <v>0</v>
      </c>
      <c r="F34" s="8" t="s">
        <v>3</v>
      </c>
      <c r="G34" s="16"/>
      <c r="H34" s="16"/>
      <c r="I34" s="66" t="s">
        <v>256</v>
      </c>
      <c r="J34" s="7">
        <v>0</v>
      </c>
      <c r="K34" s="8" t="s">
        <v>3</v>
      </c>
      <c r="L34" s="7">
        <v>0</v>
      </c>
      <c r="M34" s="8" t="s">
        <v>3</v>
      </c>
      <c r="N34" s="16"/>
    </row>
    <row r="35" spans="1:14" ht="14.25" customHeight="1" x14ac:dyDescent="0.25">
      <c r="A35" s="16"/>
      <c r="B35" s="55" t="s">
        <v>188</v>
      </c>
      <c r="C35" s="46">
        <f>SUM(C34:C34)</f>
        <v>0</v>
      </c>
      <c r="D35" s="47" t="s">
        <v>3</v>
      </c>
      <c r="E35" s="46">
        <f>SUM(E34:E34)</f>
        <v>0</v>
      </c>
      <c r="F35" s="47" t="s">
        <v>3</v>
      </c>
      <c r="G35" s="16"/>
      <c r="H35" s="16"/>
      <c r="I35" s="55" t="s">
        <v>188</v>
      </c>
      <c r="J35" s="46">
        <f>SUM(J34:J34)</f>
        <v>0</v>
      </c>
      <c r="K35" s="47" t="s">
        <v>3</v>
      </c>
      <c r="L35" s="46">
        <f>SUM(L34:L34)</f>
        <v>0</v>
      </c>
      <c r="M35" s="47" t="s">
        <v>3</v>
      </c>
      <c r="N35" s="16"/>
    </row>
    <row r="36" spans="1:14" x14ac:dyDescent="0.25">
      <c r="A36" s="16"/>
      <c r="B36" s="67" t="s">
        <v>10</v>
      </c>
      <c r="C36" s="68">
        <f>-C35*'Fane 5. Individuelt eff. krav'!G11</f>
        <v>0</v>
      </c>
      <c r="D36" s="69" t="s">
        <v>3</v>
      </c>
      <c r="E36" s="68">
        <f>-E35*'Fane 5. Individuelt eff. krav'!G11</f>
        <v>0</v>
      </c>
      <c r="F36" s="69" t="s">
        <v>3</v>
      </c>
      <c r="G36" s="16"/>
      <c r="H36" s="16"/>
      <c r="I36" s="67" t="s">
        <v>10</v>
      </c>
      <c r="J36" s="68">
        <f>-J35*'Fane 5. Individuelt eff. krav'!N11</f>
        <v>0</v>
      </c>
      <c r="K36" s="69" t="s">
        <v>3</v>
      </c>
      <c r="L36" s="68">
        <f>-L35*'Fane 5. Individuelt eff. krav'!N11</f>
        <v>0</v>
      </c>
      <c r="M36" s="69" t="s">
        <v>3</v>
      </c>
      <c r="N36" s="16"/>
    </row>
    <row r="37" spans="1:14" x14ac:dyDescent="0.25">
      <c r="A37" s="16"/>
      <c r="B37" s="67" t="s">
        <v>192</v>
      </c>
      <c r="C37" s="68">
        <f>-C35*'Fane 15. Nøgletal'!C25</f>
        <v>0</v>
      </c>
      <c r="D37" s="69" t="s">
        <v>3</v>
      </c>
      <c r="E37" s="68">
        <f>-E35*'Fane 15. Nøgletal'!C20</f>
        <v>0</v>
      </c>
      <c r="F37" s="69" t="s">
        <v>3</v>
      </c>
      <c r="G37" s="16"/>
      <c r="H37" s="16"/>
      <c r="I37" s="67" t="s">
        <v>192</v>
      </c>
      <c r="J37" s="68">
        <f>-J35*'Fane 15. Nøgletal'!J25</f>
        <v>0</v>
      </c>
      <c r="K37" s="69" t="s">
        <v>3</v>
      </c>
      <c r="L37" s="68">
        <f>-L35*'Fane 15. Nøgletal'!J20</f>
        <v>0</v>
      </c>
      <c r="M37" s="69" t="s">
        <v>3</v>
      </c>
      <c r="N37" s="16"/>
    </row>
    <row r="38" spans="1:14" ht="15.75" customHeight="1" x14ac:dyDescent="0.25">
      <c r="A38" s="16"/>
      <c r="B38" s="55" t="s">
        <v>190</v>
      </c>
      <c r="C38" s="46">
        <f>SUM(C35:C37)*(1+'Fane 15. Nøgletal'!C12)^5</f>
        <v>0</v>
      </c>
      <c r="D38" s="47" t="s">
        <v>3</v>
      </c>
      <c r="E38" s="46">
        <f>SUM(E35:E37)*(1+'Fane 15. Nøgletal'!C12)^5</f>
        <v>0</v>
      </c>
      <c r="F38" s="47" t="s">
        <v>3</v>
      </c>
      <c r="G38" s="16"/>
      <c r="H38" s="16"/>
      <c r="I38" s="55" t="s">
        <v>190</v>
      </c>
      <c r="J38" s="46">
        <f>SUM(J35:J37)*(1+'Fane 15. Nøgletal'!J12)^5</f>
        <v>0</v>
      </c>
      <c r="K38" s="47" t="s">
        <v>3</v>
      </c>
      <c r="L38" s="46">
        <f>SUM(L35:L37)*(1+'Fane 15. Nøgletal'!J12)^5</f>
        <v>0</v>
      </c>
      <c r="M38" s="47" t="s">
        <v>3</v>
      </c>
      <c r="N38" s="16"/>
    </row>
    <row r="39" spans="1:14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</sheetData>
  <sheetProtection algorithmName="SHA-512" hashValue="eF6bjBMhXYXK1dFG6RyzMcQfyfRy4l3EZujz5ne4enj3fjshvJYKOt/oc/N+89+zHXNexSRWhOh/hnmHuScgHA==" saltValue="zhV0U1+VVrT34Sy85FdJZA==" spinCount="100000" sheet="1" objects="1" scenarios="1"/>
  <mergeCells count="18">
    <mergeCell ref="B3:F4"/>
    <mergeCell ref="B8:F8"/>
    <mergeCell ref="B16:F16"/>
    <mergeCell ref="B24:F24"/>
    <mergeCell ref="B32:F32"/>
    <mergeCell ref="J33:K33"/>
    <mergeCell ref="L33:M33"/>
    <mergeCell ref="I3:M4"/>
    <mergeCell ref="I8:M8"/>
    <mergeCell ref="I16:M16"/>
    <mergeCell ref="I24:M24"/>
    <mergeCell ref="I32:M32"/>
    <mergeCell ref="L9:M9"/>
    <mergeCell ref="J9:K9"/>
    <mergeCell ref="J17:K17"/>
    <mergeCell ref="L17:M17"/>
    <mergeCell ref="J25:K25"/>
    <mergeCell ref="L25:M2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K50"/>
  <sheetViews>
    <sheetView showGridLines="0" view="pageLayout" topLeftCell="A3" zoomScaleNormal="100" workbookViewId="0">
      <selection activeCell="E30" sqref="E30"/>
    </sheetView>
  </sheetViews>
  <sheetFormatPr defaultColWidth="9.140625" defaultRowHeight="15" x14ac:dyDescent="0.25"/>
  <cols>
    <col min="1" max="1" width="2.42578125" style="48" customWidth="1"/>
    <col min="2" max="2" width="34.42578125" style="48" customWidth="1"/>
    <col min="3" max="3" width="7.85546875" style="48" customWidth="1"/>
    <col min="4" max="4" width="3.28515625" style="48" customWidth="1"/>
    <col min="5" max="5" width="18.85546875" style="48" customWidth="1"/>
    <col min="6" max="6" width="3.28515625" style="48" customWidth="1"/>
    <col min="7" max="7" width="14" style="48" customWidth="1"/>
    <col min="8" max="8" width="3.28515625" style="48" customWidth="1"/>
    <col min="9" max="9" width="6.140625" style="48" bestFit="1" customWidth="1"/>
    <col min="10" max="10" width="3.28515625" style="48" customWidth="1"/>
    <col min="11" max="11" width="1.7109375" style="48" customWidth="1"/>
    <col min="12" max="16384" width="9.140625" style="48"/>
  </cols>
  <sheetData>
    <row r="1" spans="1:1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customHeight="1" x14ac:dyDescent="0.25">
      <c r="A3" s="16"/>
      <c r="B3" s="104" t="s">
        <v>221</v>
      </c>
      <c r="C3" s="104"/>
      <c r="D3" s="104"/>
      <c r="E3" s="104"/>
      <c r="F3" s="104"/>
      <c r="G3" s="104"/>
      <c r="H3" s="104"/>
      <c r="I3" s="104"/>
      <c r="J3" s="104"/>
      <c r="K3" s="16"/>
    </row>
    <row r="4" spans="1:11" ht="15" customHeight="1" x14ac:dyDescent="0.25">
      <c r="A4" s="16"/>
      <c r="B4" s="104"/>
      <c r="C4" s="104"/>
      <c r="D4" s="104"/>
      <c r="E4" s="104"/>
      <c r="F4" s="104"/>
      <c r="G4" s="104"/>
      <c r="H4" s="104"/>
      <c r="I4" s="104"/>
      <c r="J4" s="104"/>
      <c r="K4" s="16"/>
    </row>
    <row r="5" spans="1:11" x14ac:dyDescent="0.25">
      <c r="A5" s="16"/>
      <c r="B5" s="104"/>
      <c r="C5" s="104"/>
      <c r="D5" s="104"/>
      <c r="E5" s="104"/>
      <c r="F5" s="104"/>
      <c r="G5" s="104"/>
      <c r="H5" s="104"/>
      <c r="I5" s="104"/>
      <c r="J5" s="104"/>
      <c r="K5" s="16"/>
    </row>
    <row r="6" spans="1:1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27" customHeight="1" x14ac:dyDescent="0.25">
      <c r="A8" s="16"/>
      <c r="B8" s="155" t="s">
        <v>157</v>
      </c>
      <c r="C8" s="156"/>
      <c r="D8" s="156"/>
      <c r="E8" s="56" t="s">
        <v>263</v>
      </c>
      <c r="F8" s="56"/>
      <c r="G8" s="56" t="s">
        <v>264</v>
      </c>
      <c r="H8" s="56"/>
      <c r="I8" s="56" t="s">
        <v>259</v>
      </c>
      <c r="J8" s="45"/>
      <c r="K8" s="16"/>
    </row>
    <row r="9" spans="1:11" x14ac:dyDescent="0.25">
      <c r="A9" s="16"/>
      <c r="B9" s="157" t="s">
        <v>156</v>
      </c>
      <c r="C9" s="158"/>
      <c r="D9" s="159"/>
      <c r="E9" s="7">
        <v>0</v>
      </c>
      <c r="F9" s="8" t="s">
        <v>3</v>
      </c>
      <c r="G9" s="7">
        <v>0</v>
      </c>
      <c r="H9" s="8" t="s">
        <v>3</v>
      </c>
      <c r="I9" s="7">
        <f>+E9+G9</f>
        <v>0</v>
      </c>
      <c r="J9" s="8" t="s">
        <v>3</v>
      </c>
      <c r="K9" s="16"/>
    </row>
    <row r="10" spans="1:11" x14ac:dyDescent="0.25">
      <c r="A10" s="16"/>
      <c r="B10" s="116" t="s">
        <v>10</v>
      </c>
      <c r="C10" s="117"/>
      <c r="D10" s="118"/>
      <c r="E10" s="7">
        <f>-E9*'Fane 5. Individuelt eff. krav'!G11</f>
        <v>0</v>
      </c>
      <c r="F10" s="8" t="s">
        <v>3</v>
      </c>
      <c r="G10" s="7">
        <f>-G9*'Fane 5. Individuelt eff. krav'!I11</f>
        <v>0</v>
      </c>
      <c r="H10" s="8" t="s">
        <v>3</v>
      </c>
      <c r="I10" s="7">
        <f t="shared" ref="I10:I11" si="0">+E10+G10</f>
        <v>0</v>
      </c>
      <c r="J10" s="8" t="s">
        <v>3</v>
      </c>
      <c r="K10" s="16"/>
    </row>
    <row r="11" spans="1:11" x14ac:dyDescent="0.25">
      <c r="A11" s="16"/>
      <c r="B11" s="116" t="s">
        <v>37</v>
      </c>
      <c r="C11" s="117"/>
      <c r="D11" s="118"/>
      <c r="E11" s="7">
        <f>-E9*'Fane 15. Nøgletal'!C25</f>
        <v>0</v>
      </c>
      <c r="F11" s="8" t="s">
        <v>3</v>
      </c>
      <c r="G11" s="7">
        <f>-G9*'Fane 15. Nøgletal'!E25</f>
        <v>0</v>
      </c>
      <c r="H11" s="8" t="s">
        <v>3</v>
      </c>
      <c r="I11" s="7">
        <f t="shared" si="0"/>
        <v>0</v>
      </c>
      <c r="J11" s="8" t="s">
        <v>3</v>
      </c>
      <c r="K11" s="16"/>
    </row>
    <row r="12" spans="1:11" ht="14.25" customHeight="1" x14ac:dyDescent="0.25">
      <c r="A12" s="16"/>
      <c r="B12" s="107" t="s">
        <v>161</v>
      </c>
      <c r="C12" s="108"/>
      <c r="D12" s="109"/>
      <c r="E12" s="46">
        <f>SUM(E9:E11)*(1+'Fane 15. Nøgletal'!C12)^2</f>
        <v>0</v>
      </c>
      <c r="F12" s="47" t="s">
        <v>3</v>
      </c>
      <c r="G12" s="46">
        <f>SUM(G9:G11)*(1+'Fane 15. Nøgletal'!C12)^2</f>
        <v>0</v>
      </c>
      <c r="H12" s="47" t="s">
        <v>3</v>
      </c>
      <c r="I12" s="46">
        <f>SUM(I9:I11)*(1+'Fane 15. Nøgletal'!C12)^2</f>
        <v>0</v>
      </c>
      <c r="J12" s="47" t="s">
        <v>3</v>
      </c>
      <c r="K12" s="16"/>
    </row>
    <row r="13" spans="1:1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26.45" customHeight="1" x14ac:dyDescent="0.25">
      <c r="A14" s="16"/>
      <c r="B14" s="155" t="s">
        <v>158</v>
      </c>
      <c r="C14" s="156"/>
      <c r="D14" s="156"/>
      <c r="E14" s="56" t="s">
        <v>263</v>
      </c>
      <c r="F14" s="56"/>
      <c r="G14" s="56" t="s">
        <v>264</v>
      </c>
      <c r="H14" s="56"/>
      <c r="I14" s="56" t="s">
        <v>259</v>
      </c>
      <c r="J14" s="45"/>
      <c r="K14" s="16"/>
    </row>
    <row r="15" spans="1:11" x14ac:dyDescent="0.25">
      <c r="A15" s="16"/>
      <c r="B15" s="157" t="s">
        <v>156</v>
      </c>
      <c r="C15" s="158"/>
      <c r="D15" s="159"/>
      <c r="E15" s="7">
        <v>0</v>
      </c>
      <c r="F15" s="8" t="s">
        <v>3</v>
      </c>
      <c r="G15" s="7">
        <v>0</v>
      </c>
      <c r="H15" s="8" t="s">
        <v>3</v>
      </c>
      <c r="I15" s="7">
        <f>+E15+G15</f>
        <v>0</v>
      </c>
      <c r="J15" s="8" t="s">
        <v>3</v>
      </c>
      <c r="K15" s="16"/>
    </row>
    <row r="16" spans="1:11" x14ac:dyDescent="0.25">
      <c r="A16" s="16"/>
      <c r="B16" s="116" t="s">
        <v>10</v>
      </c>
      <c r="C16" s="117"/>
      <c r="D16" s="118"/>
      <c r="E16" s="7">
        <f>-E15*'Fane 5. Individuelt eff. krav'!G11</f>
        <v>0</v>
      </c>
      <c r="F16" s="8" t="s">
        <v>3</v>
      </c>
      <c r="G16" s="7">
        <f>-G15*'Fane 5. Individuelt eff. krav'!I17</f>
        <v>0</v>
      </c>
      <c r="H16" s="8" t="s">
        <v>3</v>
      </c>
      <c r="I16" s="7">
        <f t="shared" ref="I16:I17" si="1">+E16+G16</f>
        <v>0</v>
      </c>
      <c r="J16" s="8" t="s">
        <v>3</v>
      </c>
      <c r="K16" s="16"/>
    </row>
    <row r="17" spans="1:11" x14ac:dyDescent="0.25">
      <c r="A17" s="16"/>
      <c r="B17" s="116" t="s">
        <v>37</v>
      </c>
      <c r="C17" s="117"/>
      <c r="D17" s="118"/>
      <c r="E17" s="7">
        <f>-E15*'Fane 15. Nøgletal'!C25</f>
        <v>0</v>
      </c>
      <c r="F17" s="8" t="s">
        <v>3</v>
      </c>
      <c r="G17" s="7">
        <f>-G15*'Fane 15. Nøgletal'!E31</f>
        <v>0</v>
      </c>
      <c r="H17" s="8" t="s">
        <v>3</v>
      </c>
      <c r="I17" s="7">
        <f t="shared" si="1"/>
        <v>0</v>
      </c>
      <c r="J17" s="8" t="s">
        <v>3</v>
      </c>
      <c r="K17" s="16"/>
    </row>
    <row r="18" spans="1:11" ht="18.75" customHeight="1" x14ac:dyDescent="0.25">
      <c r="A18" s="16"/>
      <c r="B18" s="107" t="s">
        <v>162</v>
      </c>
      <c r="C18" s="108"/>
      <c r="D18" s="109"/>
      <c r="E18" s="46">
        <f>SUM(E15:E17)*(1+'Fane 15. Nøgletal'!C12)^3</f>
        <v>0</v>
      </c>
      <c r="F18" s="47" t="s">
        <v>3</v>
      </c>
      <c r="G18" s="46">
        <f>SUM(G15:G17)*(1+'Fane 15. Nøgletal'!C12)^3</f>
        <v>0</v>
      </c>
      <c r="H18" s="47" t="s">
        <v>3</v>
      </c>
      <c r="I18" s="46">
        <f>SUM(I15:I17)*(1+'Fane 15. Nøgletal'!C12)^3</f>
        <v>0</v>
      </c>
      <c r="J18" s="47" t="s">
        <v>3</v>
      </c>
      <c r="K18" s="16"/>
    </row>
    <row r="19" spans="1:1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27.95" customHeight="1" x14ac:dyDescent="0.25">
      <c r="A20" s="16"/>
      <c r="B20" s="155" t="s">
        <v>159</v>
      </c>
      <c r="C20" s="156"/>
      <c r="D20" s="156"/>
      <c r="E20" s="56" t="s">
        <v>263</v>
      </c>
      <c r="F20" s="56"/>
      <c r="G20" s="56" t="s">
        <v>264</v>
      </c>
      <c r="H20" s="56"/>
      <c r="I20" s="56" t="s">
        <v>259</v>
      </c>
      <c r="J20" s="45"/>
      <c r="K20" s="16"/>
    </row>
    <row r="21" spans="1:11" x14ac:dyDescent="0.25">
      <c r="A21" s="16"/>
      <c r="B21" s="157" t="s">
        <v>156</v>
      </c>
      <c r="C21" s="158"/>
      <c r="D21" s="159"/>
      <c r="E21" s="7">
        <v>0</v>
      </c>
      <c r="F21" s="8" t="s">
        <v>3</v>
      </c>
      <c r="G21" s="7">
        <v>0</v>
      </c>
      <c r="H21" s="8" t="s">
        <v>3</v>
      </c>
      <c r="I21" s="7">
        <f>+E21+G21</f>
        <v>0</v>
      </c>
      <c r="J21" s="8" t="s">
        <v>3</v>
      </c>
      <c r="K21" s="16"/>
    </row>
    <row r="22" spans="1:11" x14ac:dyDescent="0.25">
      <c r="A22" s="16"/>
      <c r="B22" s="116" t="s">
        <v>10</v>
      </c>
      <c r="C22" s="117"/>
      <c r="D22" s="118"/>
      <c r="E22" s="7">
        <f>-E21*'Fane 5. Individuelt eff. krav'!G11</f>
        <v>0</v>
      </c>
      <c r="F22" s="8" t="s">
        <v>3</v>
      </c>
      <c r="G22" s="7">
        <f>-G21*'Fane 5. Individuelt eff. krav'!I23</f>
        <v>0</v>
      </c>
      <c r="H22" s="8" t="s">
        <v>3</v>
      </c>
      <c r="I22" s="7">
        <f t="shared" ref="I22:I23" si="2">+E22+G22</f>
        <v>0</v>
      </c>
      <c r="J22" s="8" t="s">
        <v>3</v>
      </c>
      <c r="K22" s="16"/>
    </row>
    <row r="23" spans="1:11" x14ac:dyDescent="0.25">
      <c r="A23" s="16"/>
      <c r="B23" s="116" t="s">
        <v>37</v>
      </c>
      <c r="C23" s="117"/>
      <c r="D23" s="118"/>
      <c r="E23" s="7">
        <f>-E21*'Fane 15. Nøgletal'!C25</f>
        <v>0</v>
      </c>
      <c r="F23" s="8" t="s">
        <v>3</v>
      </c>
      <c r="G23" s="7">
        <f>-G21*'Fane 15. Nøgletal'!E37</f>
        <v>0</v>
      </c>
      <c r="H23" s="8" t="s">
        <v>3</v>
      </c>
      <c r="I23" s="7">
        <f t="shared" si="2"/>
        <v>0</v>
      </c>
      <c r="J23" s="8" t="s">
        <v>3</v>
      </c>
      <c r="K23" s="16"/>
    </row>
    <row r="24" spans="1:11" ht="16.5" customHeight="1" x14ac:dyDescent="0.25">
      <c r="A24" s="16"/>
      <c r="B24" s="107" t="s">
        <v>163</v>
      </c>
      <c r="C24" s="108"/>
      <c r="D24" s="109"/>
      <c r="E24" s="46">
        <f>SUM(E21:E23)*(1+'Fane 15. Nøgletal'!C12)^4</f>
        <v>0</v>
      </c>
      <c r="F24" s="47" t="s">
        <v>3</v>
      </c>
      <c r="G24" s="46">
        <f>SUM(G21:G23)*(1+'Fane 15. Nøgletal'!C12)^4</f>
        <v>0</v>
      </c>
      <c r="H24" s="47" t="s">
        <v>3</v>
      </c>
      <c r="I24" s="46">
        <f>SUM(I21:I23)*(1+'Fane 15. Nøgletal'!C12)^4</f>
        <v>0</v>
      </c>
      <c r="J24" s="47" t="s">
        <v>3</v>
      </c>
      <c r="K24" s="16"/>
    </row>
    <row r="25" spans="1:1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27.95" customHeight="1" x14ac:dyDescent="0.25">
      <c r="A26" s="16"/>
      <c r="B26" s="155" t="s">
        <v>160</v>
      </c>
      <c r="C26" s="156"/>
      <c r="D26" s="156"/>
      <c r="E26" s="56" t="s">
        <v>263</v>
      </c>
      <c r="F26" s="56"/>
      <c r="G26" s="56" t="s">
        <v>264</v>
      </c>
      <c r="H26" s="56"/>
      <c r="I26" s="56" t="s">
        <v>259</v>
      </c>
      <c r="J26" s="45"/>
      <c r="K26" s="16"/>
    </row>
    <row r="27" spans="1:11" x14ac:dyDescent="0.25">
      <c r="A27" s="16"/>
      <c r="B27" s="157" t="s">
        <v>156</v>
      </c>
      <c r="C27" s="158"/>
      <c r="D27" s="159"/>
      <c r="E27" s="7">
        <v>0</v>
      </c>
      <c r="F27" s="8" t="s">
        <v>3</v>
      </c>
      <c r="G27" s="7">
        <v>0</v>
      </c>
      <c r="H27" s="8" t="s">
        <v>3</v>
      </c>
      <c r="I27" s="7">
        <f>+E27+G27</f>
        <v>0</v>
      </c>
      <c r="J27" s="8" t="s">
        <v>3</v>
      </c>
      <c r="K27" s="16"/>
    </row>
    <row r="28" spans="1:11" x14ac:dyDescent="0.25">
      <c r="A28" s="16"/>
      <c r="B28" s="116" t="s">
        <v>10</v>
      </c>
      <c r="C28" s="117"/>
      <c r="D28" s="118"/>
      <c r="E28" s="7">
        <f>-E27*'Fane 5. Individuelt eff. krav'!G11</f>
        <v>0</v>
      </c>
      <c r="F28" s="8" t="s">
        <v>3</v>
      </c>
      <c r="G28" s="7">
        <f>-G27*'Fane 5. Individuelt eff. krav'!I29</f>
        <v>0</v>
      </c>
      <c r="H28" s="8" t="s">
        <v>3</v>
      </c>
      <c r="I28" s="7">
        <f t="shared" ref="I28:I29" si="3">+E28+G28</f>
        <v>0</v>
      </c>
      <c r="J28" s="8" t="s">
        <v>3</v>
      </c>
      <c r="K28" s="16"/>
    </row>
    <row r="29" spans="1:11" x14ac:dyDescent="0.25">
      <c r="A29" s="16"/>
      <c r="B29" s="116" t="s">
        <v>37</v>
      </c>
      <c r="C29" s="117"/>
      <c r="D29" s="118"/>
      <c r="E29" s="7">
        <f>-E27*'Fane 15. Nøgletal'!C25</f>
        <v>0</v>
      </c>
      <c r="F29" s="8" t="s">
        <v>3</v>
      </c>
      <c r="G29" s="7">
        <f>-G27*'Fane 15. Nøgletal'!E43</f>
        <v>0</v>
      </c>
      <c r="H29" s="8" t="s">
        <v>3</v>
      </c>
      <c r="I29" s="7">
        <f t="shared" si="3"/>
        <v>0</v>
      </c>
      <c r="J29" s="8" t="s">
        <v>3</v>
      </c>
      <c r="K29" s="16"/>
    </row>
    <row r="30" spans="1:11" ht="15.75" customHeight="1" x14ac:dyDescent="0.25">
      <c r="A30" s="16"/>
      <c r="B30" s="107" t="s">
        <v>164</v>
      </c>
      <c r="C30" s="108"/>
      <c r="D30" s="109"/>
      <c r="E30" s="46">
        <f>SUM(E27:E29)*(1+'Fane 15. Nøgletal'!C12)^5</f>
        <v>0</v>
      </c>
      <c r="F30" s="47" t="s">
        <v>3</v>
      </c>
      <c r="G30" s="46">
        <f>SUM(G27:G29)*(1+'Fane 15. Nøgletal'!C12)^5</f>
        <v>0</v>
      </c>
      <c r="H30" s="47" t="s">
        <v>3</v>
      </c>
      <c r="I30" s="46">
        <f>SUM(I27:I29)*(1+'Fane 15. Nøgletal'!C12)^5</f>
        <v>0</v>
      </c>
      <c r="J30" s="47" t="s">
        <v>3</v>
      </c>
      <c r="K30" s="16"/>
    </row>
    <row r="31" spans="1:1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</sheetData>
  <sheetProtection algorithmName="SHA-512" hashValue="ul7Cnp3hZq1GP8CG04VFUPU167PIFLHvjNIfHp9O0XpQD2M20NTOaISNqX3Tk1SVqgwjDWoJHHuA4rQysQ6alg==" saltValue="COpGkzUu3Khi3xv8PpA04A==" spinCount="100000" sheet="1" objects="1" scenarios="1"/>
  <mergeCells count="21">
    <mergeCell ref="B3:J5"/>
    <mergeCell ref="B9:D9"/>
    <mergeCell ref="B18:D18"/>
    <mergeCell ref="B15:D15"/>
    <mergeCell ref="B12:D12"/>
    <mergeCell ref="B10:D10"/>
    <mergeCell ref="B11:D11"/>
    <mergeCell ref="B16:D16"/>
    <mergeCell ref="B17:D17"/>
    <mergeCell ref="B8:D8"/>
    <mergeCell ref="B14:D14"/>
    <mergeCell ref="B20:D20"/>
    <mergeCell ref="B26:D26"/>
    <mergeCell ref="B30:D30"/>
    <mergeCell ref="B27:D27"/>
    <mergeCell ref="B24:D24"/>
    <mergeCell ref="B21:D21"/>
    <mergeCell ref="B22:D22"/>
    <mergeCell ref="B23:D23"/>
    <mergeCell ref="B28:D28"/>
    <mergeCell ref="B29:D29"/>
  </mergeCells>
  <pageMargins left="0.2638888888888889" right="0.1944444444444444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topLeftCell="A4" zoomScaleNormal="100" workbookViewId="0">
      <selection activeCell="E15" sqref="E15"/>
    </sheetView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218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52" t="s">
        <v>275</v>
      </c>
      <c r="C8" s="153"/>
      <c r="D8" s="153"/>
      <c r="E8" s="153"/>
      <c r="F8" s="154"/>
      <c r="G8" s="1"/>
    </row>
    <row r="9" spans="1:7" ht="15" customHeight="1" x14ac:dyDescent="0.25">
      <c r="A9" s="1"/>
      <c r="B9" s="26" t="s">
        <v>31</v>
      </c>
      <c r="C9" s="26" t="s">
        <v>16</v>
      </c>
      <c r="D9" s="27"/>
      <c r="E9" s="26" t="s">
        <v>46</v>
      </c>
      <c r="F9" s="27"/>
      <c r="G9" s="1"/>
    </row>
    <row r="10" spans="1:7" x14ac:dyDescent="0.25">
      <c r="A10" s="1"/>
      <c r="B10" s="22" t="s">
        <v>249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19" t="s">
        <v>32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19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52" t="s">
        <v>276</v>
      </c>
      <c r="C14" s="153"/>
      <c r="D14" s="153"/>
      <c r="E14" s="153"/>
      <c r="F14" s="154"/>
      <c r="G14" s="1"/>
    </row>
    <row r="15" spans="1:7" ht="26.25" x14ac:dyDescent="0.25">
      <c r="A15" s="1"/>
      <c r="B15" s="26" t="s">
        <v>31</v>
      </c>
      <c r="C15" s="26" t="s">
        <v>16</v>
      </c>
      <c r="D15" s="27"/>
      <c r="E15" s="26" t="s">
        <v>46</v>
      </c>
      <c r="F15" s="27"/>
      <c r="G15" s="1"/>
    </row>
    <row r="16" spans="1:7" x14ac:dyDescent="0.25">
      <c r="A16" s="1"/>
      <c r="B16" s="22" t="s">
        <v>249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ht="26.25" x14ac:dyDescent="0.25">
      <c r="A17" s="1"/>
      <c r="B17" s="19" t="s">
        <v>32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ht="26.25" x14ac:dyDescent="0.25">
      <c r="A18" s="1"/>
      <c r="B18" s="19" t="s">
        <v>70</v>
      </c>
      <c r="C18" s="12">
        <f>C17*(1+'Fane 15. Nøgletal'!C18)</f>
        <v>0</v>
      </c>
      <c r="D18" s="13" t="s">
        <v>3</v>
      </c>
      <c r="E18" s="12">
        <f>E17*(1+'Fane 15. Nøgletal'!C18)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cxv7roPIcrmjTGvgwIWKWW9DJHelSYXIJ/aiEIx19IyzZEJrGdJ3PZL+sLBQW3Aw7WWFY4ry6WPDMoLN1MTnw==" saltValue="VpVceRRnFOI5fPKE+guljA==" spinCount="100000" sheet="1" objects="1" scenarios="1"/>
  <mergeCells count="3">
    <mergeCell ref="B3:F4"/>
    <mergeCell ref="B8:F8"/>
    <mergeCell ref="B14:F1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O39"/>
  <sheetViews>
    <sheetView showGridLines="0" view="pageLayout" zoomScaleNormal="100" workbookViewId="0">
      <selection activeCell="M9" sqref="M9:N9"/>
    </sheetView>
  </sheetViews>
  <sheetFormatPr defaultColWidth="9.140625" defaultRowHeight="15" x14ac:dyDescent="0.25"/>
  <cols>
    <col min="1" max="1" width="5.140625" style="48" customWidth="1"/>
    <col min="2" max="2" width="36.42578125" style="48" customWidth="1"/>
    <col min="3" max="3" width="15.7109375" style="48" customWidth="1"/>
    <col min="4" max="4" width="3.28515625" style="48" customWidth="1"/>
    <col min="5" max="5" width="18.42578125" style="48" customWidth="1"/>
    <col min="6" max="6" width="3.42578125" style="48" customWidth="1"/>
    <col min="7" max="8" width="5.140625" style="48" customWidth="1"/>
    <col min="9" max="9" width="6.7109375" style="48" customWidth="1"/>
    <col min="10" max="10" width="38" style="48" bestFit="1" customWidth="1"/>
    <col min="11" max="11" width="13.5703125" style="48" customWidth="1"/>
    <col min="12" max="12" width="3.28515625" style="48" customWidth="1"/>
    <col min="13" max="13" width="14.42578125" style="48" customWidth="1"/>
    <col min="14" max="14" width="3.28515625" style="48" customWidth="1"/>
    <col min="15" max="15" width="9.140625" style="48" customWidth="1"/>
    <col min="16" max="16384" width="9.140625" style="48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25">
      <c r="A3" s="16"/>
      <c r="B3" s="129" t="s">
        <v>278</v>
      </c>
      <c r="C3" s="129"/>
      <c r="D3" s="129"/>
      <c r="E3" s="129"/>
      <c r="F3" s="129"/>
      <c r="G3" s="16"/>
      <c r="H3" s="16"/>
      <c r="I3" s="16"/>
      <c r="J3" s="129" t="s">
        <v>277</v>
      </c>
      <c r="K3" s="129"/>
      <c r="L3" s="129"/>
      <c r="M3" s="129"/>
      <c r="N3" s="129"/>
      <c r="O3" s="16"/>
    </row>
    <row r="4" spans="1:15" ht="25.5" customHeight="1" x14ac:dyDescent="0.25">
      <c r="A4" s="16"/>
      <c r="B4" s="129"/>
      <c r="C4" s="129"/>
      <c r="D4" s="129"/>
      <c r="E4" s="129"/>
      <c r="F4" s="129"/>
      <c r="G4" s="16"/>
      <c r="H4" s="16"/>
      <c r="I4" s="16"/>
      <c r="J4" s="129"/>
      <c r="K4" s="129"/>
      <c r="L4" s="129"/>
      <c r="M4" s="129"/>
      <c r="N4" s="129"/>
      <c r="O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A8" s="16"/>
      <c r="B8" s="107" t="s">
        <v>166</v>
      </c>
      <c r="C8" s="108"/>
      <c r="D8" s="108"/>
      <c r="E8" s="108"/>
      <c r="F8" s="109"/>
      <c r="G8" s="16"/>
      <c r="H8" s="16"/>
      <c r="I8" s="16"/>
      <c r="J8" s="107" t="s">
        <v>166</v>
      </c>
      <c r="K8" s="108"/>
      <c r="L8" s="108"/>
      <c r="M8" s="108"/>
      <c r="N8" s="109"/>
      <c r="O8" s="16"/>
    </row>
    <row r="9" spans="1:15" ht="15" customHeight="1" x14ac:dyDescent="0.25">
      <c r="A9" s="16"/>
      <c r="B9" s="26" t="s">
        <v>25</v>
      </c>
      <c r="C9" s="26" t="s">
        <v>16</v>
      </c>
      <c r="D9" s="27"/>
      <c r="E9" s="26" t="s">
        <v>46</v>
      </c>
      <c r="F9" s="27"/>
      <c r="G9" s="16"/>
      <c r="H9" s="16"/>
      <c r="I9" s="16"/>
      <c r="J9" s="26" t="s">
        <v>25</v>
      </c>
      <c r="K9" s="110" t="s">
        <v>16</v>
      </c>
      <c r="L9" s="112"/>
      <c r="M9" s="110" t="s">
        <v>46</v>
      </c>
      <c r="N9" s="112"/>
      <c r="O9" s="16"/>
    </row>
    <row r="10" spans="1:15" x14ac:dyDescent="0.25">
      <c r="A10" s="16"/>
      <c r="B10" s="66" t="s">
        <v>250</v>
      </c>
      <c r="C10" s="7">
        <v>0</v>
      </c>
      <c r="D10" s="8" t="s">
        <v>3</v>
      </c>
      <c r="E10" s="7">
        <v>0</v>
      </c>
      <c r="F10" s="8" t="s">
        <v>3</v>
      </c>
      <c r="G10" s="16"/>
      <c r="H10" s="16"/>
      <c r="I10" s="16"/>
      <c r="J10" s="66" t="s">
        <v>250</v>
      </c>
      <c r="K10" s="7">
        <v>0</v>
      </c>
      <c r="L10" s="8" t="s">
        <v>3</v>
      </c>
      <c r="M10" s="7">
        <v>0</v>
      </c>
      <c r="N10" s="8" t="s">
        <v>3</v>
      </c>
      <c r="O10" s="16"/>
    </row>
    <row r="11" spans="1:15" ht="26.25" x14ac:dyDescent="0.25">
      <c r="A11" s="16"/>
      <c r="B11" s="55" t="s">
        <v>59</v>
      </c>
      <c r="C11" s="46">
        <f>SUM(C10:C10)</f>
        <v>0</v>
      </c>
      <c r="D11" s="47" t="s">
        <v>3</v>
      </c>
      <c r="E11" s="46">
        <f>SUM(E10:E10)</f>
        <v>0</v>
      </c>
      <c r="F11" s="47" t="s">
        <v>3</v>
      </c>
      <c r="G11" s="16"/>
      <c r="H11" s="16"/>
      <c r="I11" s="16"/>
      <c r="J11" s="55" t="s">
        <v>59</v>
      </c>
      <c r="K11" s="46">
        <f>SUM(K10:K10)</f>
        <v>0</v>
      </c>
      <c r="L11" s="47" t="s">
        <v>3</v>
      </c>
      <c r="M11" s="46">
        <f>SUM(M10:M10)</f>
        <v>0</v>
      </c>
      <c r="N11" s="47" t="s">
        <v>3</v>
      </c>
      <c r="O11" s="16"/>
    </row>
    <row r="12" spans="1:15" ht="26.25" x14ac:dyDescent="0.25">
      <c r="A12" s="16"/>
      <c r="B12" s="55" t="s">
        <v>69</v>
      </c>
      <c r="C12" s="46">
        <f>C11*(1+'Fane 15. Nøgletal'!C12)</f>
        <v>0</v>
      </c>
      <c r="D12" s="47" t="s">
        <v>3</v>
      </c>
      <c r="E12" s="46">
        <f>E11*(1+'Fane 15. Nøgletal'!C12)</f>
        <v>0</v>
      </c>
      <c r="F12" s="47" t="s">
        <v>3</v>
      </c>
      <c r="G12" s="16"/>
      <c r="H12" s="16"/>
      <c r="I12" s="16"/>
      <c r="J12" s="55" t="s">
        <v>69</v>
      </c>
      <c r="K12" s="46">
        <f>K11*(1+'Fane 15. Nøgletal'!J12)</f>
        <v>0</v>
      </c>
      <c r="L12" s="47" t="s">
        <v>3</v>
      </c>
      <c r="M12" s="46">
        <f>M11*(1+'Fane 15. Nøgletal'!J12)</f>
        <v>0</v>
      </c>
      <c r="N12" s="47" t="s">
        <v>3</v>
      </c>
      <c r="O12" s="16"/>
    </row>
    <row r="13" spans="1:1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x14ac:dyDescent="0.25">
      <c r="A14" s="16"/>
      <c r="B14" s="107" t="s">
        <v>167</v>
      </c>
      <c r="C14" s="108"/>
      <c r="D14" s="108"/>
      <c r="E14" s="108"/>
      <c r="F14" s="109"/>
      <c r="G14" s="16"/>
      <c r="H14" s="16"/>
      <c r="I14" s="16"/>
      <c r="J14" s="107" t="s">
        <v>167</v>
      </c>
      <c r="K14" s="108"/>
      <c r="L14" s="108"/>
      <c r="M14" s="108"/>
      <c r="N14" s="109"/>
      <c r="O14" s="16"/>
    </row>
    <row r="15" spans="1:15" ht="18" customHeight="1" x14ac:dyDescent="0.25">
      <c r="A15" s="16"/>
      <c r="B15" s="26" t="s">
        <v>25</v>
      </c>
      <c r="C15" s="26" t="s">
        <v>16</v>
      </c>
      <c r="D15" s="27"/>
      <c r="E15" s="26" t="s">
        <v>46</v>
      </c>
      <c r="F15" s="27"/>
      <c r="G15" s="16"/>
      <c r="H15" s="16"/>
      <c r="I15" s="16"/>
      <c r="J15" s="26" t="s">
        <v>25</v>
      </c>
      <c r="K15" s="110" t="s">
        <v>16</v>
      </c>
      <c r="L15" s="112"/>
      <c r="M15" s="110" t="s">
        <v>46</v>
      </c>
      <c r="N15" s="112"/>
      <c r="O15" s="16"/>
    </row>
    <row r="16" spans="1:15" x14ac:dyDescent="0.25">
      <c r="A16" s="16"/>
      <c r="B16" s="66" t="s">
        <v>250</v>
      </c>
      <c r="C16" s="7">
        <v>0</v>
      </c>
      <c r="D16" s="8" t="s">
        <v>3</v>
      </c>
      <c r="E16" s="7">
        <v>0</v>
      </c>
      <c r="F16" s="8" t="s">
        <v>3</v>
      </c>
      <c r="G16" s="16"/>
      <c r="H16" s="16"/>
      <c r="I16" s="16"/>
      <c r="J16" s="66" t="s">
        <v>250</v>
      </c>
      <c r="K16" s="7">
        <v>0</v>
      </c>
      <c r="L16" s="8" t="s">
        <v>3</v>
      </c>
      <c r="M16" s="7">
        <v>0</v>
      </c>
      <c r="N16" s="8" t="s">
        <v>3</v>
      </c>
      <c r="O16" s="16"/>
    </row>
    <row r="17" spans="1:15" ht="26.25" x14ac:dyDescent="0.25">
      <c r="A17" s="16"/>
      <c r="B17" s="55" t="s">
        <v>59</v>
      </c>
      <c r="C17" s="46">
        <f>SUM(C16:C16)</f>
        <v>0</v>
      </c>
      <c r="D17" s="47" t="s">
        <v>3</v>
      </c>
      <c r="E17" s="46">
        <f>SUM(E16:E16)</f>
        <v>0</v>
      </c>
      <c r="F17" s="47" t="s">
        <v>3</v>
      </c>
      <c r="G17" s="16"/>
      <c r="H17" s="16"/>
      <c r="I17" s="16"/>
      <c r="J17" s="55" t="s">
        <v>59</v>
      </c>
      <c r="K17" s="46">
        <f>SUM(K16:K16)</f>
        <v>0</v>
      </c>
      <c r="L17" s="47" t="s">
        <v>3</v>
      </c>
      <c r="M17" s="46">
        <f>SUM(M16:M16)</f>
        <v>0</v>
      </c>
      <c r="N17" s="47" t="s">
        <v>3</v>
      </c>
      <c r="O17" s="16"/>
    </row>
    <row r="18" spans="1:15" ht="26.25" x14ac:dyDescent="0.25">
      <c r="A18" s="16"/>
      <c r="B18" s="55" t="s">
        <v>149</v>
      </c>
      <c r="C18" s="46">
        <f>C17*(1+'Fane 15. Nøgletal'!C12)^2</f>
        <v>0</v>
      </c>
      <c r="D18" s="47" t="s">
        <v>3</v>
      </c>
      <c r="E18" s="46">
        <f>E17*(1+'Fane 15. Nøgletal'!C12)^2</f>
        <v>0</v>
      </c>
      <c r="F18" s="47" t="s">
        <v>3</v>
      </c>
      <c r="G18" s="16"/>
      <c r="H18" s="16"/>
      <c r="I18" s="16"/>
      <c r="J18" s="55" t="s">
        <v>149</v>
      </c>
      <c r="K18" s="46">
        <f>K17*(1+'Fane 15. Nøgletal'!J12)^2</f>
        <v>0</v>
      </c>
      <c r="L18" s="47" t="s">
        <v>3</v>
      </c>
      <c r="M18" s="46">
        <f>M17*(1+'Fane 15. Nøgletal'!J12)^2</f>
        <v>0</v>
      </c>
      <c r="N18" s="47" t="s">
        <v>3</v>
      </c>
      <c r="O18" s="16"/>
    </row>
    <row r="19" spans="1:1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x14ac:dyDescent="0.25">
      <c r="A20" s="16"/>
      <c r="B20" s="107" t="s">
        <v>165</v>
      </c>
      <c r="C20" s="108"/>
      <c r="D20" s="108"/>
      <c r="E20" s="108"/>
      <c r="F20" s="109"/>
      <c r="G20" s="16"/>
      <c r="H20" s="16"/>
      <c r="I20" s="16"/>
      <c r="J20" s="107" t="s">
        <v>165</v>
      </c>
      <c r="K20" s="108"/>
      <c r="L20" s="108"/>
      <c r="M20" s="108"/>
      <c r="N20" s="109"/>
      <c r="O20" s="16"/>
    </row>
    <row r="21" spans="1:15" ht="16.5" customHeight="1" x14ac:dyDescent="0.25">
      <c r="A21" s="16"/>
      <c r="B21" s="26" t="s">
        <v>25</v>
      </c>
      <c r="C21" s="26" t="s">
        <v>16</v>
      </c>
      <c r="D21" s="27"/>
      <c r="E21" s="26" t="s">
        <v>46</v>
      </c>
      <c r="F21" s="27"/>
      <c r="G21" s="16"/>
      <c r="H21" s="16"/>
      <c r="I21" s="16"/>
      <c r="J21" s="26" t="s">
        <v>25</v>
      </c>
      <c r="K21" s="110" t="s">
        <v>16</v>
      </c>
      <c r="L21" s="112"/>
      <c r="M21" s="110" t="s">
        <v>46</v>
      </c>
      <c r="N21" s="112"/>
      <c r="O21" s="16"/>
    </row>
    <row r="22" spans="1:15" x14ac:dyDescent="0.25">
      <c r="A22" s="16"/>
      <c r="B22" s="66" t="s">
        <v>250</v>
      </c>
      <c r="C22" s="7">
        <v>0</v>
      </c>
      <c r="D22" s="8" t="s">
        <v>3</v>
      </c>
      <c r="E22" s="7">
        <v>0</v>
      </c>
      <c r="F22" s="8" t="s">
        <v>3</v>
      </c>
      <c r="G22" s="16"/>
      <c r="H22" s="16"/>
      <c r="I22" s="16"/>
      <c r="J22" s="66" t="s">
        <v>250</v>
      </c>
      <c r="K22" s="7">
        <v>0</v>
      </c>
      <c r="L22" s="8" t="s">
        <v>3</v>
      </c>
      <c r="M22" s="7">
        <v>0</v>
      </c>
      <c r="N22" s="8" t="s">
        <v>3</v>
      </c>
      <c r="O22" s="16"/>
    </row>
    <row r="23" spans="1:15" ht="26.25" x14ac:dyDescent="0.25">
      <c r="A23" s="16"/>
      <c r="B23" s="55" t="s">
        <v>59</v>
      </c>
      <c r="C23" s="46">
        <f>SUM(C22:C22)</f>
        <v>0</v>
      </c>
      <c r="D23" s="47" t="s">
        <v>3</v>
      </c>
      <c r="E23" s="46">
        <f>SUM(E22:E22)</f>
        <v>0</v>
      </c>
      <c r="F23" s="47" t="s">
        <v>3</v>
      </c>
      <c r="G23" s="16"/>
      <c r="H23" s="16"/>
      <c r="I23" s="16"/>
      <c r="J23" s="55" t="s">
        <v>59</v>
      </c>
      <c r="K23" s="46">
        <f>SUM(K22:K22)</f>
        <v>0</v>
      </c>
      <c r="L23" s="47" t="s">
        <v>3</v>
      </c>
      <c r="M23" s="46">
        <f>SUM(M22:M22)</f>
        <v>0</v>
      </c>
      <c r="N23" s="47" t="s">
        <v>3</v>
      </c>
      <c r="O23" s="16"/>
    </row>
    <row r="24" spans="1:15" ht="26.25" x14ac:dyDescent="0.25">
      <c r="A24" s="16"/>
      <c r="B24" s="55" t="s">
        <v>150</v>
      </c>
      <c r="C24" s="46">
        <f>C23*(1+'Fane 15. Nøgletal'!C12)^3</f>
        <v>0</v>
      </c>
      <c r="D24" s="47" t="s">
        <v>3</v>
      </c>
      <c r="E24" s="46">
        <f>E23*(1+'Fane 15. Nøgletal'!C12)^3</f>
        <v>0</v>
      </c>
      <c r="F24" s="47" t="s">
        <v>3</v>
      </c>
      <c r="G24" s="16"/>
      <c r="H24" s="16"/>
      <c r="I24" s="16"/>
      <c r="J24" s="55" t="s">
        <v>150</v>
      </c>
      <c r="K24" s="46">
        <f>K23*(1+'Fane 15. Nøgletal'!J12)^3</f>
        <v>0</v>
      </c>
      <c r="L24" s="47" t="s">
        <v>3</v>
      </c>
      <c r="M24" s="46">
        <f>M23*(1+'Fane 15. Nøgletal'!J12)^3</f>
        <v>0</v>
      </c>
      <c r="N24" s="47" t="s">
        <v>3</v>
      </c>
      <c r="O24" s="16"/>
    </row>
    <row r="25" spans="1:1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x14ac:dyDescent="0.25">
      <c r="A26" s="16"/>
      <c r="B26" s="107" t="s">
        <v>168</v>
      </c>
      <c r="C26" s="108"/>
      <c r="D26" s="108"/>
      <c r="E26" s="108"/>
      <c r="F26" s="109"/>
      <c r="G26" s="16"/>
      <c r="H26" s="16"/>
      <c r="I26" s="16"/>
      <c r="J26" s="107" t="s">
        <v>168</v>
      </c>
      <c r="K26" s="108"/>
      <c r="L26" s="108"/>
      <c r="M26" s="108"/>
      <c r="N26" s="109"/>
      <c r="O26" s="16"/>
    </row>
    <row r="27" spans="1:15" ht="15.6" customHeight="1" x14ac:dyDescent="0.25">
      <c r="A27" s="16"/>
      <c r="B27" s="26" t="s">
        <v>25</v>
      </c>
      <c r="C27" s="26" t="s">
        <v>16</v>
      </c>
      <c r="D27" s="27"/>
      <c r="E27" s="26" t="s">
        <v>46</v>
      </c>
      <c r="F27" s="27"/>
      <c r="G27" s="16"/>
      <c r="H27" s="16"/>
      <c r="I27" s="16"/>
      <c r="J27" s="26" t="s">
        <v>25</v>
      </c>
      <c r="K27" s="110" t="s">
        <v>16</v>
      </c>
      <c r="L27" s="112"/>
      <c r="M27" s="110" t="s">
        <v>46</v>
      </c>
      <c r="N27" s="112"/>
      <c r="O27" s="16"/>
    </row>
    <row r="28" spans="1:15" x14ac:dyDescent="0.25">
      <c r="A28" s="16"/>
      <c r="B28" s="66" t="s">
        <v>250</v>
      </c>
      <c r="C28" s="7">
        <v>0</v>
      </c>
      <c r="D28" s="8" t="s">
        <v>3</v>
      </c>
      <c r="E28" s="7">
        <v>0</v>
      </c>
      <c r="F28" s="8" t="s">
        <v>3</v>
      </c>
      <c r="G28" s="16"/>
      <c r="H28" s="16"/>
      <c r="I28" s="16"/>
      <c r="J28" s="66" t="s">
        <v>250</v>
      </c>
      <c r="K28" s="7">
        <v>0</v>
      </c>
      <c r="L28" s="8" t="s">
        <v>3</v>
      </c>
      <c r="M28" s="7">
        <v>0</v>
      </c>
      <c r="N28" s="8" t="s">
        <v>3</v>
      </c>
      <c r="O28" s="16"/>
    </row>
    <row r="29" spans="1:15" ht="26.25" x14ac:dyDescent="0.25">
      <c r="A29" s="16"/>
      <c r="B29" s="55" t="s">
        <v>59</v>
      </c>
      <c r="C29" s="46">
        <f>SUM(C28:C28)</f>
        <v>0</v>
      </c>
      <c r="D29" s="47" t="s">
        <v>3</v>
      </c>
      <c r="E29" s="46">
        <f>SUM(E28:E28)</f>
        <v>0</v>
      </c>
      <c r="F29" s="47" t="s">
        <v>3</v>
      </c>
      <c r="G29" s="16"/>
      <c r="H29" s="16"/>
      <c r="I29" s="16"/>
      <c r="J29" s="55" t="s">
        <v>59</v>
      </c>
      <c r="K29" s="46">
        <f>SUM(K28:K28)</f>
        <v>0</v>
      </c>
      <c r="L29" s="47" t="s">
        <v>3</v>
      </c>
      <c r="M29" s="46">
        <f>SUM(M28:M28)</f>
        <v>0</v>
      </c>
      <c r="N29" s="47" t="s">
        <v>3</v>
      </c>
      <c r="O29" s="16"/>
    </row>
    <row r="30" spans="1:15" ht="26.25" x14ac:dyDescent="0.25">
      <c r="A30" s="16"/>
      <c r="B30" s="55" t="s">
        <v>151</v>
      </c>
      <c r="C30" s="46">
        <f>C29*(1+'Fane 15. Nøgletal'!C12)^4</f>
        <v>0</v>
      </c>
      <c r="D30" s="47" t="s">
        <v>3</v>
      </c>
      <c r="E30" s="46">
        <f>E29*(1+'Fane 15. Nøgletal'!C12)^4</f>
        <v>0</v>
      </c>
      <c r="F30" s="47" t="s">
        <v>3</v>
      </c>
      <c r="G30" s="16"/>
      <c r="H30" s="16"/>
      <c r="I30" s="16"/>
      <c r="J30" s="55" t="s">
        <v>151</v>
      </c>
      <c r="K30" s="46">
        <f>K29*(1+'Fane 15. Nøgletal'!J12)^4</f>
        <v>0</v>
      </c>
      <c r="L30" s="47" t="s">
        <v>3</v>
      </c>
      <c r="M30" s="46">
        <f>M29*(1+'Fane 15. Nøgletal'!J12)^4</f>
        <v>0</v>
      </c>
      <c r="N30" s="47" t="s">
        <v>3</v>
      </c>
      <c r="O30" s="16"/>
    </row>
    <row r="31" spans="1:1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</sheetData>
  <sheetProtection algorithmName="SHA-512" hashValue="SDTv1iarjv70G0/RlHuIDrDyOvkYBR9rtr1t2UpGX0Cz5oqJA/m5pSBDDquGZURLY481bcatmnv1clawReXS6w==" saltValue="C4blrTaEb7DP/+Eo97w3dg==" spinCount="100000" sheet="1" objects="1" scenarios="1"/>
  <mergeCells count="18">
    <mergeCell ref="B3:F4"/>
    <mergeCell ref="B8:F8"/>
    <mergeCell ref="B14:F14"/>
    <mergeCell ref="B20:F20"/>
    <mergeCell ref="B26:F26"/>
    <mergeCell ref="K27:L27"/>
    <mergeCell ref="M27:N27"/>
    <mergeCell ref="J3:N4"/>
    <mergeCell ref="J8:N8"/>
    <mergeCell ref="J14:N14"/>
    <mergeCell ref="J20:N20"/>
    <mergeCell ref="J26:N26"/>
    <mergeCell ref="K9:L9"/>
    <mergeCell ref="M9:N9"/>
    <mergeCell ref="K15:L15"/>
    <mergeCell ref="M15:N15"/>
    <mergeCell ref="K21:L21"/>
    <mergeCell ref="M21:N21"/>
  </mergeCells>
  <pageMargins left="0.7" right="0.22916666666666666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topLeftCell="A4" zoomScaleNormal="100" workbookViewId="0">
      <selection activeCell="B20" sqref="B20:F20"/>
    </sheetView>
  </sheetViews>
  <sheetFormatPr defaultColWidth="9.140625" defaultRowHeight="15" x14ac:dyDescent="0.25"/>
  <cols>
    <col min="1" max="1" width="4.28515625" style="48" customWidth="1"/>
    <col min="2" max="3" width="9.140625" style="48"/>
    <col min="4" max="4" width="15.140625" style="48" customWidth="1"/>
    <col min="5" max="5" width="9.140625" style="48"/>
    <col min="6" max="6" width="18.28515625" style="48" customWidth="1"/>
    <col min="7" max="7" width="11.5703125" style="48" customWidth="1"/>
    <col min="8" max="8" width="3.140625" style="48" customWidth="1"/>
    <col min="9" max="9" width="9" style="48" customWidth="1"/>
    <col min="10" max="16384" width="9.140625" style="48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15" customHeight="1" x14ac:dyDescent="0.25">
      <c r="A3" s="16"/>
      <c r="B3" s="104" t="s">
        <v>217</v>
      </c>
      <c r="C3" s="104"/>
      <c r="D3" s="104"/>
      <c r="E3" s="104"/>
      <c r="F3" s="104"/>
      <c r="G3" s="104"/>
      <c r="H3" s="104"/>
      <c r="I3" s="16"/>
    </row>
    <row r="4" spans="1:9" ht="15" customHeight="1" x14ac:dyDescent="0.25">
      <c r="A4" s="16"/>
      <c r="B4" s="104"/>
      <c r="C4" s="104"/>
      <c r="D4" s="104"/>
      <c r="E4" s="104"/>
      <c r="F4" s="104"/>
      <c r="G4" s="104"/>
      <c r="H4" s="104"/>
      <c r="I4" s="16"/>
    </row>
    <row r="5" spans="1:9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9" ht="29.1" customHeight="1" x14ac:dyDescent="0.25">
      <c r="A8" s="16"/>
      <c r="B8" s="107" t="s">
        <v>279</v>
      </c>
      <c r="C8" s="108"/>
      <c r="D8" s="108"/>
      <c r="E8" s="108"/>
      <c r="F8" s="108"/>
      <c r="G8" s="108"/>
      <c r="H8" s="109"/>
      <c r="I8" s="16"/>
    </row>
    <row r="9" spans="1:9" x14ac:dyDescent="0.25">
      <c r="A9" s="16"/>
      <c r="B9" s="113" t="s">
        <v>12</v>
      </c>
      <c r="C9" s="114"/>
      <c r="D9" s="114"/>
      <c r="E9" s="114"/>
      <c r="F9" s="115"/>
      <c r="G9" s="7">
        <v>18902312</v>
      </c>
      <c r="H9" s="8" t="s">
        <v>3</v>
      </c>
      <c r="I9" s="16"/>
    </row>
    <row r="10" spans="1:9" x14ac:dyDescent="0.25">
      <c r="A10" s="16"/>
      <c r="B10" s="113" t="s">
        <v>135</v>
      </c>
      <c r="C10" s="114"/>
      <c r="D10" s="114"/>
      <c r="E10" s="114"/>
      <c r="F10" s="115"/>
      <c r="G10" s="7">
        <v>0</v>
      </c>
      <c r="H10" s="8" t="s">
        <v>3</v>
      </c>
      <c r="I10" s="16"/>
    </row>
    <row r="11" spans="1:9" x14ac:dyDescent="0.25">
      <c r="A11" s="16"/>
      <c r="B11" s="113" t="s">
        <v>75</v>
      </c>
      <c r="C11" s="114"/>
      <c r="D11" s="114"/>
      <c r="E11" s="114"/>
      <c r="F11" s="115"/>
      <c r="G11" s="7">
        <v>-18902312.166666664</v>
      </c>
      <c r="H11" s="8" t="s">
        <v>3</v>
      </c>
      <c r="I11" s="16"/>
    </row>
    <row r="12" spans="1:9" ht="26.25" x14ac:dyDescent="0.25">
      <c r="A12" s="16"/>
      <c r="B12" s="160" t="s">
        <v>15</v>
      </c>
      <c r="C12" s="161"/>
      <c r="D12" s="161"/>
      <c r="E12" s="161"/>
      <c r="F12" s="162"/>
      <c r="G12" s="70">
        <f>(G9+G10)+G11</f>
        <v>-0.1666666641831398</v>
      </c>
      <c r="H12" s="71" t="s">
        <v>3</v>
      </c>
      <c r="I12" s="16"/>
    </row>
    <row r="13" spans="1:9" x14ac:dyDescent="0.25">
      <c r="A13" s="16"/>
      <c r="B13" s="113" t="s">
        <v>13</v>
      </c>
      <c r="C13" s="114"/>
      <c r="D13" s="114"/>
      <c r="E13" s="114"/>
      <c r="F13" s="115"/>
      <c r="G13" s="7">
        <v>0</v>
      </c>
      <c r="H13" s="8" t="s">
        <v>27</v>
      </c>
      <c r="I13" s="16"/>
    </row>
    <row r="14" spans="1:9" ht="26.25" x14ac:dyDescent="0.25">
      <c r="A14" s="16"/>
      <c r="B14" s="107" t="s">
        <v>136</v>
      </c>
      <c r="C14" s="108"/>
      <c r="D14" s="108"/>
      <c r="E14" s="108"/>
      <c r="F14" s="109"/>
      <c r="G14" s="46">
        <f>IF(G13 = 0,0,-G12/G13)</f>
        <v>0</v>
      </c>
      <c r="H14" s="47" t="s">
        <v>3</v>
      </c>
      <c r="I14" s="16"/>
    </row>
    <row r="15" spans="1:9" x14ac:dyDescent="0.25">
      <c r="A15" s="16"/>
      <c r="B15" s="16"/>
      <c r="C15" s="16"/>
      <c r="D15" s="16"/>
      <c r="E15" s="16"/>
      <c r="F15" s="16"/>
      <c r="G15" s="16"/>
      <c r="H15" s="16"/>
      <c r="I15" s="16"/>
    </row>
    <row r="16" spans="1:9" x14ac:dyDescent="0.25">
      <c r="A16" s="16"/>
      <c r="B16" s="107" t="s">
        <v>280</v>
      </c>
      <c r="C16" s="108"/>
      <c r="D16" s="108"/>
      <c r="E16" s="108"/>
      <c r="F16" s="108"/>
      <c r="G16" s="108"/>
      <c r="H16" s="109"/>
      <c r="I16" s="16"/>
    </row>
    <row r="17" spans="1:9" x14ac:dyDescent="0.25">
      <c r="A17" s="16"/>
      <c r="B17" s="113" t="s">
        <v>12</v>
      </c>
      <c r="C17" s="114"/>
      <c r="D17" s="114"/>
      <c r="E17" s="114"/>
      <c r="F17" s="115"/>
      <c r="G17" s="7">
        <v>0</v>
      </c>
      <c r="H17" s="8" t="s">
        <v>3</v>
      </c>
      <c r="I17" s="16"/>
    </row>
    <row r="18" spans="1:9" x14ac:dyDescent="0.25">
      <c r="A18" s="16"/>
      <c r="B18" s="113" t="s">
        <v>135</v>
      </c>
      <c r="C18" s="114"/>
      <c r="D18" s="114"/>
      <c r="E18" s="114"/>
      <c r="F18" s="115"/>
      <c r="G18" s="7">
        <v>0</v>
      </c>
      <c r="H18" s="8" t="s">
        <v>3</v>
      </c>
      <c r="I18" s="16"/>
    </row>
    <row r="19" spans="1:9" x14ac:dyDescent="0.25">
      <c r="A19" s="16"/>
      <c r="B19" s="113" t="s">
        <v>75</v>
      </c>
      <c r="C19" s="114"/>
      <c r="D19" s="114"/>
      <c r="E19" s="114"/>
      <c r="F19" s="115"/>
      <c r="G19" s="7">
        <v>0</v>
      </c>
      <c r="H19" s="8" t="s">
        <v>3</v>
      </c>
      <c r="I19" s="16"/>
    </row>
    <row r="20" spans="1:9" ht="26.25" x14ac:dyDescent="0.25">
      <c r="A20" s="16"/>
      <c r="B20" s="160" t="s">
        <v>15</v>
      </c>
      <c r="C20" s="161"/>
      <c r="D20" s="161"/>
      <c r="E20" s="161"/>
      <c r="F20" s="162"/>
      <c r="G20" s="70">
        <f>(G17+G18)+G19</f>
        <v>0</v>
      </c>
      <c r="H20" s="71" t="s">
        <v>3</v>
      </c>
      <c r="I20" s="16"/>
    </row>
    <row r="21" spans="1:9" x14ac:dyDescent="0.25">
      <c r="A21" s="16"/>
      <c r="B21" s="113" t="s">
        <v>13</v>
      </c>
      <c r="C21" s="114"/>
      <c r="D21" s="114"/>
      <c r="E21" s="114"/>
      <c r="F21" s="115"/>
      <c r="G21" s="7">
        <v>0</v>
      </c>
      <c r="H21" s="8" t="s">
        <v>27</v>
      </c>
      <c r="I21" s="16"/>
    </row>
    <row r="22" spans="1:9" ht="26.25" x14ac:dyDescent="0.25">
      <c r="A22" s="16"/>
      <c r="B22" s="107" t="s">
        <v>136</v>
      </c>
      <c r="C22" s="108"/>
      <c r="D22" s="108"/>
      <c r="E22" s="108"/>
      <c r="F22" s="109"/>
      <c r="G22" s="46">
        <f>IF(G21 = 0,0,-G20/G21)</f>
        <v>0</v>
      </c>
      <c r="H22" s="47" t="s">
        <v>3</v>
      </c>
      <c r="I22" s="16"/>
    </row>
    <row r="23" spans="1:9" x14ac:dyDescent="0.25">
      <c r="A23" s="16"/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x14ac:dyDescent="0.25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25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25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25">
      <c r="A31" s="16"/>
      <c r="B31" s="16"/>
      <c r="C31" s="16"/>
      <c r="D31" s="16"/>
      <c r="E31" s="16"/>
      <c r="F31" s="16"/>
      <c r="G31" s="16"/>
      <c r="H31" s="16"/>
      <c r="I31" s="16"/>
    </row>
    <row r="32" spans="1:9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s="16"/>
      <c r="B34" s="16"/>
      <c r="C34" s="16"/>
      <c r="D34" s="16"/>
      <c r="E34" s="16"/>
      <c r="F34" s="16"/>
      <c r="G34" s="16"/>
      <c r="H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  <row r="42" spans="1:9" x14ac:dyDescent="0.25">
      <c r="A42" s="16"/>
      <c r="B42" s="16"/>
      <c r="C42" s="16"/>
      <c r="D42" s="16"/>
      <c r="E42" s="16"/>
      <c r="F42" s="16"/>
      <c r="G42" s="16"/>
      <c r="H42" s="16"/>
      <c r="I42" s="16"/>
    </row>
    <row r="43" spans="1:9" x14ac:dyDescent="0.25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25">
      <c r="A44" s="16"/>
      <c r="B44" s="16"/>
      <c r="C44" s="16"/>
      <c r="D44" s="16"/>
      <c r="E44" s="16"/>
      <c r="F44" s="16"/>
      <c r="G44" s="16"/>
      <c r="H44" s="16"/>
      <c r="I44" s="16"/>
    </row>
    <row r="45" spans="1:9" x14ac:dyDescent="0.2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2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2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2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2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25">
      <c r="A50" s="16"/>
      <c r="B50" s="16"/>
      <c r="C50" s="16"/>
      <c r="D50" s="16"/>
      <c r="E50" s="16"/>
      <c r="F50" s="16"/>
      <c r="G50" s="16"/>
      <c r="H50" s="16"/>
      <c r="I50" s="16"/>
    </row>
  </sheetData>
  <sheetProtection algorithmName="SHA-512" hashValue="eAILR3K6dwCv1V5sZNek51WxuL24q0IdqpLcRnDXacVVu8XFiIF92NoQV3l42VMXuaoe49h02Unux65Q2O6rvA==" saltValue="4L/n1JYYXyZ0PagJaTf8iw==" spinCount="100000" sheet="1" objects="1" scenarios="1"/>
  <mergeCells count="15">
    <mergeCell ref="B13:F13"/>
    <mergeCell ref="B14:F14"/>
    <mergeCell ref="B3:H4"/>
    <mergeCell ref="B8:H8"/>
    <mergeCell ref="B9:F9"/>
    <mergeCell ref="B11:F11"/>
    <mergeCell ref="B12:F12"/>
    <mergeCell ref="B10:F10"/>
    <mergeCell ref="B21:F21"/>
    <mergeCell ref="B22:F22"/>
    <mergeCell ref="B16:H16"/>
    <mergeCell ref="B17:F17"/>
    <mergeCell ref="B18:F18"/>
    <mergeCell ref="B19:F19"/>
    <mergeCell ref="B20:F20"/>
  </mergeCells>
  <pageMargins left="0.51388888888888884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9"/>
  <sheetViews>
    <sheetView showGridLines="0" view="pageLayout" topLeftCell="A4" zoomScaleNormal="100" workbookViewId="0">
      <selection activeCell="G13" sqref="G13"/>
    </sheetView>
  </sheetViews>
  <sheetFormatPr defaultColWidth="9.140625" defaultRowHeight="15" x14ac:dyDescent="0.25"/>
  <cols>
    <col min="1" max="1" width="2.42578125" style="48" customWidth="1"/>
    <col min="2" max="2" width="40.5703125" style="48" customWidth="1"/>
    <col min="3" max="3" width="18.85546875" style="48" customWidth="1"/>
    <col min="4" max="4" width="3.42578125" style="48" customWidth="1"/>
    <col min="5" max="5" width="14.7109375" style="48" customWidth="1"/>
    <col min="6" max="6" width="3.140625" style="48" customWidth="1"/>
    <col min="7" max="7" width="10.85546875" style="48" customWidth="1"/>
    <col min="8" max="8" width="3.42578125" style="48" customWidth="1"/>
    <col min="9" max="9" width="2.140625" style="48" customWidth="1"/>
    <col min="10" max="16384" width="9.140625" style="48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6"/>
      <c r="B3" s="104" t="s">
        <v>60</v>
      </c>
      <c r="C3" s="104"/>
      <c r="D3" s="104"/>
      <c r="E3" s="104"/>
      <c r="F3" s="104"/>
      <c r="G3" s="104"/>
      <c r="H3" s="104"/>
      <c r="I3" s="16"/>
    </row>
    <row r="4" spans="1:9" x14ac:dyDescent="0.25">
      <c r="A4" s="16"/>
      <c r="B4" s="104"/>
      <c r="C4" s="104"/>
      <c r="D4" s="104"/>
      <c r="E4" s="104"/>
      <c r="F4" s="104"/>
      <c r="G4" s="104"/>
      <c r="H4" s="104"/>
      <c r="I4" s="16"/>
    </row>
    <row r="5" spans="1:9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9" ht="26.25" x14ac:dyDescent="0.25">
      <c r="A8" s="16"/>
      <c r="B8" s="55" t="s">
        <v>19</v>
      </c>
      <c r="C8" s="56" t="s">
        <v>263</v>
      </c>
      <c r="D8" s="56"/>
      <c r="E8" s="56" t="s">
        <v>264</v>
      </c>
      <c r="F8" s="56"/>
      <c r="G8" s="56" t="s">
        <v>259</v>
      </c>
      <c r="H8" s="45"/>
      <c r="I8" s="16"/>
    </row>
    <row r="9" spans="1:9" ht="26.25" x14ac:dyDescent="0.25">
      <c r="A9" s="16"/>
      <c r="B9" s="54" t="s">
        <v>33</v>
      </c>
      <c r="C9" s="7">
        <f>'Fane 3. Omkostninger i ØR2019'!E20</f>
        <v>66907253.09415365</v>
      </c>
      <c r="D9" s="8" t="s">
        <v>3</v>
      </c>
      <c r="E9" s="7">
        <f>'Fane 3. Omkostninger i ØR2019'!G20</f>
        <v>23188543.198822893</v>
      </c>
      <c r="F9" s="8" t="s">
        <v>3</v>
      </c>
      <c r="G9" s="7">
        <f>'Fane 3. Omkostninger i ØR2019'!I20</f>
        <v>90095796.292976558</v>
      </c>
      <c r="H9" s="8" t="s">
        <v>3</v>
      </c>
      <c r="I9" s="16"/>
    </row>
    <row r="10" spans="1:9" x14ac:dyDescent="0.25">
      <c r="A10" s="16"/>
      <c r="B10" s="53" t="s">
        <v>62</v>
      </c>
      <c r="C10" s="7">
        <f>'Fane 10.1. Varige tillæg'!C13</f>
        <v>0</v>
      </c>
      <c r="D10" s="8" t="s">
        <v>3</v>
      </c>
      <c r="E10" s="7">
        <f>'Fane 10.1. Varige tillæg'!C17</f>
        <v>0</v>
      </c>
      <c r="F10" s="8" t="s">
        <v>3</v>
      </c>
      <c r="G10" s="7">
        <f t="shared" ref="G10:G17" si="0">+C10+E10</f>
        <v>0</v>
      </c>
      <c r="H10" s="8" t="s">
        <v>3</v>
      </c>
      <c r="I10" s="16"/>
    </row>
    <row r="11" spans="1:9" x14ac:dyDescent="0.25">
      <c r="A11" s="16"/>
      <c r="B11" s="53" t="s">
        <v>63</v>
      </c>
      <c r="C11" s="7">
        <f>'Fane 10.1. Varige tillæg'!E13</f>
        <v>6908.4675000000007</v>
      </c>
      <c r="D11" s="8" t="s">
        <v>3</v>
      </c>
      <c r="E11" s="7">
        <f>'Fane 10.1. Varige tillæg'!E17</f>
        <v>0</v>
      </c>
      <c r="F11" s="8" t="s">
        <v>3</v>
      </c>
      <c r="G11" s="7">
        <f t="shared" si="0"/>
        <v>6908.4675000000007</v>
      </c>
      <c r="H11" s="8" t="s">
        <v>3</v>
      </c>
      <c r="I11" s="16"/>
    </row>
    <row r="12" spans="1:9" x14ac:dyDescent="0.25">
      <c r="A12" s="16"/>
      <c r="B12" s="53" t="s">
        <v>40</v>
      </c>
      <c r="C12" s="7">
        <f>-'Fane 13. Bortfald'!C12</f>
        <v>0</v>
      </c>
      <c r="D12" s="8" t="s">
        <v>3</v>
      </c>
      <c r="E12" s="7">
        <f>-'Fane 13. Bortfald'!K12</f>
        <v>0</v>
      </c>
      <c r="F12" s="8" t="s">
        <v>3</v>
      </c>
      <c r="G12" s="7">
        <f t="shared" si="0"/>
        <v>0</v>
      </c>
      <c r="H12" s="8" t="s">
        <v>3</v>
      </c>
      <c r="I12" s="16"/>
    </row>
    <row r="13" spans="1:9" x14ac:dyDescent="0.25">
      <c r="A13" s="16"/>
      <c r="B13" s="53" t="s">
        <v>39</v>
      </c>
      <c r="C13" s="7">
        <f>-'Fane 13. Bortfald'!E12</f>
        <v>0</v>
      </c>
      <c r="D13" s="8" t="s">
        <v>3</v>
      </c>
      <c r="E13" s="7">
        <f>-'Fane 13. Bortfald'!M12</f>
        <v>0</v>
      </c>
      <c r="F13" s="8" t="s">
        <v>3</v>
      </c>
      <c r="G13" s="7">
        <f t="shared" si="0"/>
        <v>0</v>
      </c>
      <c r="H13" s="8" t="s">
        <v>3</v>
      </c>
      <c r="I13" s="16"/>
    </row>
    <row r="14" spans="1:9" x14ac:dyDescent="0.25">
      <c r="A14" s="16"/>
      <c r="B14" s="53" t="s">
        <v>42</v>
      </c>
      <c r="C14" s="7">
        <f>'Fane 12. Tilknyttet aktivitet'!C12</f>
        <v>0</v>
      </c>
      <c r="D14" s="8" t="s">
        <v>3</v>
      </c>
      <c r="E14" s="7">
        <f>'Fane 12. Tilknyttet aktivitet'!C16</f>
        <v>0</v>
      </c>
      <c r="F14" s="8" t="s">
        <v>3</v>
      </c>
      <c r="G14" s="7">
        <f t="shared" si="0"/>
        <v>0</v>
      </c>
      <c r="H14" s="8" t="s">
        <v>3</v>
      </c>
      <c r="I14" s="16"/>
    </row>
    <row r="15" spans="1:9" x14ac:dyDescent="0.25">
      <c r="A15" s="16"/>
      <c r="B15" s="53" t="s">
        <v>41</v>
      </c>
      <c r="C15" s="7">
        <f>'Fane 12. Tilknyttet aktivitet'!E12</f>
        <v>0</v>
      </c>
      <c r="D15" s="8" t="s">
        <v>3</v>
      </c>
      <c r="E15" s="7">
        <f>'Fane 12. Tilknyttet aktivitet'!E16</f>
        <v>0</v>
      </c>
      <c r="F15" s="8" t="s">
        <v>3</v>
      </c>
      <c r="G15" s="7">
        <f t="shared" si="0"/>
        <v>0</v>
      </c>
      <c r="H15" s="8" t="s">
        <v>3</v>
      </c>
      <c r="I15" s="16"/>
    </row>
    <row r="16" spans="1:9" x14ac:dyDescent="0.25">
      <c r="A16" s="16"/>
      <c r="B16" s="53" t="s">
        <v>26</v>
      </c>
      <c r="C16" s="7">
        <f>SUM(C9:C15)*'Fane 15. Nøgletal'!C12</f>
        <v>1318208.9827645768</v>
      </c>
      <c r="D16" s="8" t="s">
        <v>3</v>
      </c>
      <c r="E16" s="7">
        <f>SUM(E9:E15)*'Fane 15. Nøgletal'!C12</f>
        <v>456814.30101681099</v>
      </c>
      <c r="F16" s="8" t="s">
        <v>3</v>
      </c>
      <c r="G16" s="7">
        <f>SUM(G9:G15)*'Fane 15. Nøgletal'!C12</f>
        <v>1775023.2837813881</v>
      </c>
      <c r="H16" s="8" t="s">
        <v>3</v>
      </c>
      <c r="I16" s="16"/>
    </row>
    <row r="17" spans="1:9" x14ac:dyDescent="0.25">
      <c r="A17" s="16"/>
      <c r="B17" s="53" t="s">
        <v>10</v>
      </c>
      <c r="C17" s="7">
        <f>-SUM(C9:C16)*'Fane 5. Individuelt eff. krav'!G11</f>
        <v>0</v>
      </c>
      <c r="D17" s="8" t="s">
        <v>3</v>
      </c>
      <c r="E17" s="7">
        <f>-SUM(E9:E16)*'Fane 5. Individuelt eff. krav'!G17</f>
        <v>-85985.761894472031</v>
      </c>
      <c r="F17" s="8" t="s">
        <v>3</v>
      </c>
      <c r="G17" s="7">
        <f t="shared" si="0"/>
        <v>-85985.761894472031</v>
      </c>
      <c r="H17" s="8" t="s">
        <v>3</v>
      </c>
      <c r="I17" s="16"/>
    </row>
    <row r="18" spans="1:9" x14ac:dyDescent="0.25">
      <c r="A18" s="16"/>
      <c r="B18" s="53" t="s">
        <v>37</v>
      </c>
      <c r="C18" s="7">
        <f>-'Fane 4.1. Gen. krav - drift'!G28</f>
        <v>-267568.65505441255</v>
      </c>
      <c r="D18" s="8" t="s">
        <v>3</v>
      </c>
      <c r="E18" s="7">
        <f>-'Fane 4.1. Gen. krav - drift'!I28</f>
        <v>-332159.06094738608</v>
      </c>
      <c r="F18" s="8" t="s">
        <v>3</v>
      </c>
      <c r="G18" s="7">
        <f>-'Fane 4.1. Gen. krav - drift'!K28</f>
        <v>-599727.71600179863</v>
      </c>
      <c r="H18" s="8" t="s">
        <v>3</v>
      </c>
      <c r="I18" s="16"/>
    </row>
    <row r="19" spans="1:9" x14ac:dyDescent="0.25">
      <c r="A19" s="16"/>
      <c r="B19" s="53" t="s">
        <v>38</v>
      </c>
      <c r="C19" s="7">
        <f>-'Fane 4.2. Gen. krav - anlæg'!G25</f>
        <v>-1557851.833284213</v>
      </c>
      <c r="D19" s="8" t="s">
        <v>3</v>
      </c>
      <c r="E19" s="7">
        <f>-'Fane 4.2. Gen. krav - anlæg'!I25</f>
        <v>-199862.28645015956</v>
      </c>
      <c r="F19" s="8" t="s">
        <v>3</v>
      </c>
      <c r="G19" s="7">
        <f>-'Fane 4.2. Gen. krav - anlæg'!K25</f>
        <v>-1757714.1197343725</v>
      </c>
      <c r="H19" s="8" t="s">
        <v>3</v>
      </c>
      <c r="I19" s="16"/>
    </row>
    <row r="20" spans="1:9" x14ac:dyDescent="0.25">
      <c r="A20" s="16"/>
      <c r="B20" s="51" t="s">
        <v>28</v>
      </c>
      <c r="C20" s="44">
        <f>SUM(C9:C19)</f>
        <v>66406950.056079611</v>
      </c>
      <c r="D20" s="11" t="s">
        <v>3</v>
      </c>
      <c r="E20" s="44">
        <f>SUM(E9:E19)</f>
        <v>23027350.390547689</v>
      </c>
      <c r="F20" s="11" t="s">
        <v>3</v>
      </c>
      <c r="G20" s="44">
        <f>SUM(G9:G19)</f>
        <v>89434300.446627304</v>
      </c>
      <c r="H20" s="11" t="s">
        <v>3</v>
      </c>
      <c r="I20" s="16"/>
    </row>
    <row r="21" spans="1:9" x14ac:dyDescent="0.25">
      <c r="A21" s="16"/>
      <c r="B21" s="55" t="s">
        <v>17</v>
      </c>
      <c r="C21" s="56"/>
      <c r="D21" s="56"/>
      <c r="E21" s="56"/>
      <c r="F21" s="56"/>
      <c r="G21" s="56"/>
      <c r="H21" s="45"/>
      <c r="I21" s="16"/>
    </row>
    <row r="22" spans="1:9" x14ac:dyDescent="0.25">
      <c r="A22" s="16"/>
      <c r="B22" s="26" t="s">
        <v>17</v>
      </c>
      <c r="C22" s="44">
        <f>'Fane 6. Ikke-påvirkelige omk.'!C14+'Fane 6. Ikke-påvirkelige omk.'!C18+'Fane 6. Ikke-påvirkelige omk.'!C26</f>
        <v>236916.75609459</v>
      </c>
      <c r="D22" s="11" t="s">
        <v>3</v>
      </c>
      <c r="E22" s="44">
        <f>'Fane 6. Ikke-påvirkelige omk.'!J14+'Fane 6. Ikke-påvirkelige omk.'!J18+'Fane 6. Ikke-påvirkelige omk.'!J26</f>
        <v>2010661.1049709802</v>
      </c>
      <c r="F22" s="11" t="s">
        <v>3</v>
      </c>
      <c r="G22" s="44">
        <f>'Fane 6. Ikke-påvirkelige omk.'!P15+'Fane 6. Ikke-påvirkelige omk.'!P19+'Fane 6. Ikke-påvirkelige omk.'!P27</f>
        <v>2247577.8610655703</v>
      </c>
      <c r="H22" s="11" t="s">
        <v>3</v>
      </c>
      <c r="I22" s="16"/>
    </row>
    <row r="23" spans="1:9" x14ac:dyDescent="0.25">
      <c r="A23" s="16"/>
      <c r="B23" s="55" t="s">
        <v>142</v>
      </c>
      <c r="C23" s="56"/>
      <c r="D23" s="56"/>
      <c r="E23" s="56"/>
      <c r="F23" s="56"/>
      <c r="G23" s="56"/>
      <c r="H23" s="45"/>
      <c r="I23" s="16"/>
    </row>
    <row r="24" spans="1:9" x14ac:dyDescent="0.25">
      <c r="A24" s="16"/>
      <c r="B24" s="51" t="s">
        <v>142</v>
      </c>
      <c r="C24" s="44">
        <f>'Fane 11. Periodevise driftsomk.'!E12</f>
        <v>0</v>
      </c>
      <c r="D24" s="11" t="s">
        <v>3</v>
      </c>
      <c r="E24" s="44">
        <f>+'Fane 11. Periodevise driftsomk.'!G12</f>
        <v>0</v>
      </c>
      <c r="F24" s="11" t="s">
        <v>3</v>
      </c>
      <c r="G24" s="44">
        <f>+'Fane 11. Periodevise driftsomk.'!I12</f>
        <v>0</v>
      </c>
      <c r="H24" s="11" t="s">
        <v>3</v>
      </c>
      <c r="I24" s="16"/>
    </row>
    <row r="25" spans="1:9" x14ac:dyDescent="0.25">
      <c r="A25" s="16"/>
      <c r="B25" s="55" t="s">
        <v>141</v>
      </c>
      <c r="C25" s="56"/>
      <c r="D25" s="56"/>
      <c r="E25" s="56"/>
      <c r="F25" s="56"/>
      <c r="G25" s="56"/>
      <c r="H25" s="45"/>
      <c r="I25" s="16"/>
    </row>
    <row r="26" spans="1:9" x14ac:dyDescent="0.25">
      <c r="A26" s="16"/>
      <c r="B26" s="53" t="s">
        <v>137</v>
      </c>
      <c r="C26" s="7">
        <f>'Fane 10.2. Engangstillæg'!C14</f>
        <v>0</v>
      </c>
      <c r="D26" s="8" t="s">
        <v>3</v>
      </c>
      <c r="E26" s="7">
        <f>+'Fane 10.2. Engangstillæg'!J14</f>
        <v>0</v>
      </c>
      <c r="F26" s="8" t="s">
        <v>3</v>
      </c>
      <c r="G26" s="7">
        <f>+C26+E26</f>
        <v>0</v>
      </c>
      <c r="H26" s="8" t="s">
        <v>3</v>
      </c>
      <c r="I26" s="16"/>
    </row>
    <row r="27" spans="1:9" x14ac:dyDescent="0.25">
      <c r="A27" s="16"/>
      <c r="B27" s="53" t="s">
        <v>138</v>
      </c>
      <c r="C27" s="7">
        <f>'Fane 10.2. Engangstillæg'!E14</f>
        <v>0</v>
      </c>
      <c r="D27" s="8" t="s">
        <v>3</v>
      </c>
      <c r="E27" s="7">
        <f>+'Fane 10.2. Engangstillæg'!L14</f>
        <v>0</v>
      </c>
      <c r="F27" s="8" t="s">
        <v>3</v>
      </c>
      <c r="G27" s="7">
        <f>+C27+E27</f>
        <v>0</v>
      </c>
      <c r="H27" s="8" t="s">
        <v>3</v>
      </c>
      <c r="I27" s="16"/>
    </row>
    <row r="28" spans="1:9" x14ac:dyDescent="0.25">
      <c r="A28" s="16"/>
      <c r="B28" s="51" t="s">
        <v>144</v>
      </c>
      <c r="C28" s="44">
        <f>SUM(C26:C27)</f>
        <v>0</v>
      </c>
      <c r="D28" s="11" t="s">
        <v>3</v>
      </c>
      <c r="E28" s="44">
        <f>SUM(E26:E27)</f>
        <v>0</v>
      </c>
      <c r="F28" s="11" t="s">
        <v>3</v>
      </c>
      <c r="G28" s="44">
        <f>+C28+E28</f>
        <v>0</v>
      </c>
      <c r="H28" s="11" t="s">
        <v>3</v>
      </c>
      <c r="I28" s="16"/>
    </row>
    <row r="29" spans="1:9" x14ac:dyDescent="0.25">
      <c r="A29" s="16"/>
      <c r="B29" s="55" t="s">
        <v>11</v>
      </c>
      <c r="C29" s="56"/>
      <c r="D29" s="56"/>
      <c r="E29" s="56"/>
      <c r="F29" s="56"/>
      <c r="G29" s="56"/>
      <c r="H29" s="45"/>
      <c r="I29" s="16"/>
    </row>
    <row r="30" spans="1:9" ht="26.25" x14ac:dyDescent="0.25">
      <c r="A30" s="16"/>
      <c r="B30" s="26" t="s">
        <v>18</v>
      </c>
      <c r="C30" s="44">
        <f>'Fane 14. Hist. over-underdæk.'!G14</f>
        <v>0</v>
      </c>
      <c r="D30" s="11" t="s">
        <v>3</v>
      </c>
      <c r="E30" s="44">
        <f>+'Fane 14. Hist. over-underdæk.'!G22</f>
        <v>0</v>
      </c>
      <c r="F30" s="11" t="s">
        <v>3</v>
      </c>
      <c r="G30" s="44">
        <f>+E30+C30</f>
        <v>0</v>
      </c>
      <c r="H30" s="11" t="s">
        <v>3</v>
      </c>
      <c r="I30" s="16"/>
    </row>
    <row r="31" spans="1:9" x14ac:dyDescent="0.25">
      <c r="A31" s="16"/>
      <c r="B31" s="55" t="s">
        <v>171</v>
      </c>
      <c r="C31" s="73"/>
      <c r="D31" s="73"/>
      <c r="E31" s="73"/>
      <c r="F31" s="73"/>
      <c r="G31" s="56"/>
      <c r="H31" s="45"/>
      <c r="I31" s="16"/>
    </row>
    <row r="32" spans="1:9" ht="14.45" customHeight="1" x14ac:dyDescent="0.25">
      <c r="A32" s="16"/>
      <c r="B32" s="78" t="s">
        <v>206</v>
      </c>
      <c r="C32" s="75"/>
      <c r="D32" s="76"/>
      <c r="E32" s="77"/>
      <c r="F32" s="27"/>
      <c r="G32" s="72">
        <f>+'Fane 7. Kontrol af ØR2018'!I28</f>
        <v>0</v>
      </c>
      <c r="H32" s="11" t="s">
        <v>3</v>
      </c>
      <c r="I32" s="16"/>
    </row>
    <row r="33" spans="1:9" x14ac:dyDescent="0.25">
      <c r="A33" s="16"/>
      <c r="B33" s="55" t="s">
        <v>243</v>
      </c>
      <c r="C33" s="74"/>
      <c r="D33" s="74"/>
      <c r="E33" s="74"/>
      <c r="F33" s="74"/>
      <c r="G33" s="56"/>
      <c r="H33" s="45"/>
      <c r="I33" s="16"/>
    </row>
    <row r="34" spans="1:9" x14ac:dyDescent="0.25">
      <c r="A34" s="16"/>
      <c r="B34" s="26" t="s">
        <v>244</v>
      </c>
      <c r="C34" s="44">
        <f>'Fane 8. Korrektioner'!E20</f>
        <v>0</v>
      </c>
      <c r="D34" s="11" t="s">
        <v>3</v>
      </c>
      <c r="E34" s="44">
        <f>+'Fane 8. Korrektioner'!E35</f>
        <v>0</v>
      </c>
      <c r="F34" s="11" t="s">
        <v>3</v>
      </c>
      <c r="G34" s="44">
        <f>+E34+C34</f>
        <v>0</v>
      </c>
      <c r="H34" s="11" t="s">
        <v>3</v>
      </c>
      <c r="I34" s="16"/>
    </row>
    <row r="35" spans="1:9" ht="16.5" customHeight="1" x14ac:dyDescent="0.25">
      <c r="A35" s="16"/>
      <c r="B35" s="55" t="s">
        <v>34</v>
      </c>
      <c r="C35" s="57">
        <f>SUM(C34,C32,C30,C28,C24,C22,C20)</f>
        <v>66643866.812174201</v>
      </c>
      <c r="D35" s="57" t="s">
        <v>3</v>
      </c>
      <c r="E35" s="57">
        <f>SUM(E34,E32,E30,E28,E24,E22,E20)</f>
        <v>25038011.495518669</v>
      </c>
      <c r="F35" s="57" t="s">
        <v>3</v>
      </c>
      <c r="G35" s="57">
        <f>SUM(G34,G32,G30,G28,G24,G22,G20)</f>
        <v>91681878.30769287</v>
      </c>
      <c r="H35" s="47" t="s">
        <v>3</v>
      </c>
      <c r="I35" s="16"/>
    </row>
    <row r="36" spans="1:9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  <row r="42" spans="1:9" x14ac:dyDescent="0.25">
      <c r="A42" s="16"/>
      <c r="B42" s="16"/>
      <c r="C42" s="16"/>
      <c r="D42" s="16"/>
      <c r="E42" s="16"/>
      <c r="F42" s="16"/>
      <c r="G42" s="16"/>
      <c r="H42" s="16"/>
      <c r="I42" s="16"/>
    </row>
    <row r="43" spans="1:9" x14ac:dyDescent="0.25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25">
      <c r="A44" s="16"/>
      <c r="B44" s="16"/>
      <c r="C44" s="16"/>
      <c r="D44" s="16"/>
      <c r="E44" s="16"/>
      <c r="F44" s="16"/>
      <c r="G44" s="16"/>
      <c r="H44" s="16"/>
      <c r="I44" s="16"/>
    </row>
    <row r="45" spans="1:9" x14ac:dyDescent="0.2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2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2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2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25">
      <c r="A49" s="16"/>
      <c r="B49" s="16"/>
      <c r="C49" s="16"/>
      <c r="D49" s="16"/>
      <c r="E49" s="16"/>
      <c r="F49" s="16"/>
      <c r="G49" s="16"/>
      <c r="H49" s="16"/>
      <c r="I49" s="16"/>
    </row>
  </sheetData>
  <sheetProtection algorithmName="SHA-512" hashValue="QLT6GQe7hXduT1pInSOxFTsAnPabJG8ZA6VItO7X+p1cGaMd23hFk2xqczp6qdoM/Y+FCyd5dZOx7ylJu0bEWg==" saltValue="56Vs8cNuOqwdGKtjBoIQrA==" spinCount="100000" sheet="1" objects="1" scenarios="1"/>
  <mergeCells count="1">
    <mergeCell ref="B3:H4"/>
  </mergeCells>
  <pageMargins left="0.24305555555555555" right="4.1666666666666664E-2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4" t="s">
        <v>242</v>
      </c>
      <c r="C3" s="104"/>
      <c r="D3" s="1"/>
    </row>
    <row r="4" spans="1:4" ht="25.5" customHeight="1" x14ac:dyDescent="0.25">
      <c r="A4" s="1"/>
      <c r="B4" s="104"/>
      <c r="C4" s="10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28" t="s">
        <v>20</v>
      </c>
      <c r="C8" s="18"/>
      <c r="D8" s="1"/>
    </row>
    <row r="9" spans="1:4" x14ac:dyDescent="0.25">
      <c r="A9" s="1"/>
      <c r="B9" s="36" t="s">
        <v>222</v>
      </c>
      <c r="C9" s="23">
        <v>1.2699999999999999E-2</v>
      </c>
      <c r="D9" s="1"/>
    </row>
    <row r="10" spans="1:4" x14ac:dyDescent="0.25">
      <c r="A10" s="1"/>
      <c r="B10" s="36" t="s">
        <v>223</v>
      </c>
      <c r="C10" s="23">
        <v>1.7500000000000002E-2</v>
      </c>
      <c r="D10" s="1"/>
    </row>
    <row r="11" spans="1:4" x14ac:dyDescent="0.25">
      <c r="A11" s="1"/>
      <c r="B11" s="36" t="s">
        <v>30</v>
      </c>
      <c r="C11" s="23">
        <v>1.6899999999999998E-2</v>
      </c>
      <c r="D11" s="1"/>
    </row>
    <row r="12" spans="1:4" x14ac:dyDescent="0.25">
      <c r="A12" s="1"/>
      <c r="B12" s="29" t="s">
        <v>224</v>
      </c>
      <c r="C12" s="30">
        <v>1.9699999999999999E-2</v>
      </c>
      <c r="D12" s="1"/>
    </row>
    <row r="13" spans="1:4" x14ac:dyDescent="0.25">
      <c r="A13" s="1"/>
      <c r="B13" s="28"/>
      <c r="C13" s="1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28" t="s">
        <v>202</v>
      </c>
      <c r="C16" s="18"/>
      <c r="D16" s="1"/>
    </row>
    <row r="17" spans="1:4" x14ac:dyDescent="0.25">
      <c r="A17" s="1"/>
      <c r="B17" s="36" t="s">
        <v>225</v>
      </c>
      <c r="C17" s="21">
        <v>9.1000000000000004E-3</v>
      </c>
      <c r="D17" s="1"/>
    </row>
    <row r="18" spans="1:4" x14ac:dyDescent="0.25">
      <c r="A18" s="1"/>
      <c r="B18" s="36" t="s">
        <v>226</v>
      </c>
      <c r="C18" s="21">
        <v>1.77E-2</v>
      </c>
      <c r="D18" s="1"/>
    </row>
    <row r="19" spans="1:4" x14ac:dyDescent="0.25">
      <c r="A19" s="1"/>
      <c r="B19" s="36" t="s">
        <v>227</v>
      </c>
      <c r="C19" s="21">
        <v>8.6999999999999994E-3</v>
      </c>
      <c r="D19" s="1"/>
    </row>
    <row r="20" spans="1:4" x14ac:dyDescent="0.25">
      <c r="A20" s="1"/>
      <c r="B20" s="36" t="s">
        <v>228</v>
      </c>
      <c r="C20" s="31">
        <v>2.8400000000000002E-2</v>
      </c>
      <c r="D20" s="1"/>
    </row>
    <row r="21" spans="1:4" x14ac:dyDescent="0.25">
      <c r="A21" s="1"/>
      <c r="B21" s="28"/>
      <c r="C21" s="18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28" t="s">
        <v>203</v>
      </c>
      <c r="C24" s="18"/>
      <c r="D24" s="1"/>
    </row>
    <row r="25" spans="1:4" x14ac:dyDescent="0.25">
      <c r="A25" s="1"/>
      <c r="B25" s="36" t="s">
        <v>229</v>
      </c>
      <c r="C25" s="23">
        <v>0.02</v>
      </c>
      <c r="D25" s="1"/>
    </row>
    <row r="26" spans="1:4" x14ac:dyDescent="0.25">
      <c r="A26" s="1"/>
      <c r="B26" s="28"/>
      <c r="C26" s="18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GrZSBh1EXtAINtbOAN0JcOVCZLQY5y7QtmZRsPCLxCFyBi3blRsbdKqYwrJduvCkGB1T7K3JYMotg4PH+YYngQ==" saltValue="CuLUwdVHHFQ8AVJrZgj4I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0"/>
  <sheetViews>
    <sheetView showGridLines="0" view="pageLayout" topLeftCell="A3" zoomScaleNormal="100" workbookViewId="0">
      <selection activeCell="E36" sqref="E36"/>
    </sheetView>
  </sheetViews>
  <sheetFormatPr defaultColWidth="9.140625" defaultRowHeight="15" x14ac:dyDescent="0.25"/>
  <cols>
    <col min="1" max="1" width="2.42578125" style="59" customWidth="1"/>
    <col min="2" max="2" width="37.140625" style="59" customWidth="1"/>
    <col min="3" max="3" width="18.7109375" style="59" customWidth="1"/>
    <col min="4" max="4" width="3.42578125" style="59" bestFit="1" customWidth="1"/>
    <col min="5" max="5" width="13.85546875" style="59" customWidth="1"/>
    <col min="6" max="6" width="3.42578125" style="59" customWidth="1"/>
    <col min="7" max="7" width="12.28515625" style="59" customWidth="1"/>
    <col min="8" max="8" width="3.28515625" style="59" customWidth="1"/>
    <col min="9" max="9" width="2.42578125" style="59" customWidth="1"/>
    <col min="10" max="16384" width="9.140625" style="59"/>
  </cols>
  <sheetData>
    <row r="1" spans="1:9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" customHeight="1" x14ac:dyDescent="0.25">
      <c r="A3" s="58"/>
      <c r="B3" s="105" t="s">
        <v>80</v>
      </c>
      <c r="C3" s="105"/>
      <c r="D3" s="105"/>
      <c r="E3" s="105"/>
      <c r="F3" s="105"/>
      <c r="G3" s="105"/>
      <c r="H3" s="105"/>
      <c r="I3" s="58"/>
    </row>
    <row r="4" spans="1:9" ht="15" customHeight="1" x14ac:dyDescent="0.25">
      <c r="A4" s="58"/>
      <c r="B4" s="105"/>
      <c r="C4" s="105"/>
      <c r="D4" s="105"/>
      <c r="E4" s="105"/>
      <c r="F4" s="105"/>
      <c r="G4" s="105"/>
      <c r="H4" s="105"/>
      <c r="I4" s="58"/>
    </row>
    <row r="5" spans="1:9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26.25" x14ac:dyDescent="0.25">
      <c r="A8" s="58"/>
      <c r="B8" s="55" t="s">
        <v>19</v>
      </c>
      <c r="C8" s="56" t="s">
        <v>263</v>
      </c>
      <c r="D8" s="56"/>
      <c r="E8" s="56" t="s">
        <v>264</v>
      </c>
      <c r="F8" s="56"/>
      <c r="G8" s="56" t="s">
        <v>259</v>
      </c>
      <c r="H8" s="45"/>
      <c r="I8" s="58"/>
    </row>
    <row r="9" spans="1:9" ht="26.25" x14ac:dyDescent="0.25">
      <c r="A9" s="58"/>
      <c r="B9" s="54" t="s">
        <v>35</v>
      </c>
      <c r="C9" s="7">
        <f>'Fane 2.1. Økonomisk ramme 2020'!C20</f>
        <v>66406950.056079611</v>
      </c>
      <c r="D9" s="8" t="s">
        <v>3</v>
      </c>
      <c r="E9" s="7">
        <f>'Fane 2.1. Økonomisk ramme 2020'!E20</f>
        <v>23027350.390547689</v>
      </c>
      <c r="F9" s="8" t="s">
        <v>3</v>
      </c>
      <c r="G9" s="7">
        <f>'Fane 2.1. Økonomisk ramme 2020'!G20</f>
        <v>89434300.446627304</v>
      </c>
      <c r="H9" s="8" t="s">
        <v>3</v>
      </c>
      <c r="I9" s="58"/>
    </row>
    <row r="10" spans="1:9" ht="26.25" x14ac:dyDescent="0.25">
      <c r="A10" s="58"/>
      <c r="B10" s="53" t="s">
        <v>40</v>
      </c>
      <c r="C10" s="7">
        <f>-'Fane 13. Bortfald'!C18</f>
        <v>0</v>
      </c>
      <c r="D10" s="8" t="s">
        <v>3</v>
      </c>
      <c r="E10" s="7">
        <f>+'Fane 13. Bortfald'!K18</f>
        <v>0</v>
      </c>
      <c r="F10" s="8" t="s">
        <v>3</v>
      </c>
      <c r="G10" s="7">
        <f t="shared" ref="G10:G13" si="0">+C10+E10</f>
        <v>0</v>
      </c>
      <c r="H10" s="8" t="s">
        <v>3</v>
      </c>
      <c r="I10" s="58"/>
    </row>
    <row r="11" spans="1:9" ht="26.25" x14ac:dyDescent="0.25">
      <c r="A11" s="58"/>
      <c r="B11" s="53" t="s">
        <v>39</v>
      </c>
      <c r="C11" s="7">
        <f>-'Fane 13. Bortfald'!E18</f>
        <v>0</v>
      </c>
      <c r="D11" s="8" t="s">
        <v>3</v>
      </c>
      <c r="E11" s="7">
        <f>+'Fane 13. Bortfald'!M18</f>
        <v>0</v>
      </c>
      <c r="F11" s="8" t="s">
        <v>3</v>
      </c>
      <c r="G11" s="7">
        <f t="shared" si="0"/>
        <v>0</v>
      </c>
      <c r="H11" s="8" t="s">
        <v>3</v>
      </c>
      <c r="I11" s="58"/>
    </row>
    <row r="12" spans="1:9" x14ac:dyDescent="0.25">
      <c r="A12" s="58"/>
      <c r="B12" s="24" t="s">
        <v>26</v>
      </c>
      <c r="C12" s="7">
        <f>SUM(C9:C11)*'Fane 15. Nøgletal'!C12</f>
        <v>1308216.9161047682</v>
      </c>
      <c r="D12" s="8" t="s">
        <v>3</v>
      </c>
      <c r="E12" s="7">
        <f>SUM(E9:E11)*'Fane 15. Nøgletal'!C12</f>
        <v>453638.80269378942</v>
      </c>
      <c r="F12" s="8" t="s">
        <v>3</v>
      </c>
      <c r="G12" s="7">
        <f>SUM(G9:G11)*'Fane 15. Nøgletal'!C12</f>
        <v>1761855.7187985578</v>
      </c>
      <c r="H12" s="8" t="s">
        <v>3</v>
      </c>
      <c r="I12" s="58"/>
    </row>
    <row r="13" spans="1:9" x14ac:dyDescent="0.25">
      <c r="A13" s="58"/>
      <c r="B13" s="24" t="s">
        <v>10</v>
      </c>
      <c r="C13" s="7">
        <f>-SUM(C9:C12)*'Fane 5. Individuelt eff. krav'!G11</f>
        <v>0</v>
      </c>
      <c r="D13" s="8" t="s">
        <v>3</v>
      </c>
      <c r="E13" s="7">
        <f>-SUM(E9:E12)*'Fane 5. Individuelt eff. krav'!G17</f>
        <v>-85388.040583882903</v>
      </c>
      <c r="F13" s="8" t="s">
        <v>3</v>
      </c>
      <c r="G13" s="7">
        <f t="shared" si="0"/>
        <v>-85388.040583882903</v>
      </c>
      <c r="H13" s="8" t="s">
        <v>3</v>
      </c>
      <c r="I13" s="58"/>
    </row>
    <row r="14" spans="1:9" x14ac:dyDescent="0.25">
      <c r="A14" s="58"/>
      <c r="B14" s="24" t="s">
        <v>37</v>
      </c>
      <c r="C14" s="7">
        <f>-'Fane 4.1. Gen. krav - drift'!G34</f>
        <v>-267382.96240780479</v>
      </c>
      <c r="D14" s="8" t="s">
        <v>3</v>
      </c>
      <c r="E14" s="7">
        <f>-'Fane 4.1. Gen. krav - drift'!I34</f>
        <v>-331928.54255908862</v>
      </c>
      <c r="F14" s="8" t="s">
        <v>3</v>
      </c>
      <c r="G14" s="7">
        <f>-'Fane 4.1. Gen. krav - drift'!K34</f>
        <v>-599311.50496689347</v>
      </c>
      <c r="H14" s="8" t="s">
        <v>3</v>
      </c>
      <c r="I14" s="58"/>
    </row>
    <row r="15" spans="1:9" x14ac:dyDescent="0.25">
      <c r="A15" s="58"/>
      <c r="B15" s="24" t="s">
        <v>38</v>
      </c>
      <c r="C15" s="7">
        <f>-'Fane 4.2. Gen. krav - anlæg'!G31</f>
        <v>-1543426.9353909544</v>
      </c>
      <c r="D15" s="8" t="s">
        <v>3</v>
      </c>
      <c r="E15" s="7">
        <f>-'Fane 4.2. Gen. krav - anlæg'!I31</f>
        <v>-198011.66560602005</v>
      </c>
      <c r="F15" s="8" t="s">
        <v>3</v>
      </c>
      <c r="G15" s="7">
        <f>-'Fane 4.2. Gen. krav - anlæg'!K31</f>
        <v>-1741438.6009969749</v>
      </c>
      <c r="H15" s="8" t="s">
        <v>3</v>
      </c>
      <c r="I15" s="58"/>
    </row>
    <row r="16" spans="1:9" x14ac:dyDescent="0.25">
      <c r="A16" s="58"/>
      <c r="B16" s="26" t="s">
        <v>28</v>
      </c>
      <c r="C16" s="44">
        <f>SUM(C9:C15)</f>
        <v>65904357.074385621</v>
      </c>
      <c r="D16" s="11" t="s">
        <v>3</v>
      </c>
      <c r="E16" s="44">
        <f>SUM(E9:E15)</f>
        <v>22865660.944492485</v>
      </c>
      <c r="F16" s="11" t="s">
        <v>3</v>
      </c>
      <c r="G16" s="44">
        <f>SUM(G9:G15)</f>
        <v>88770018.018878117</v>
      </c>
      <c r="H16" s="11" t="s">
        <v>3</v>
      </c>
      <c r="I16" s="58"/>
    </row>
    <row r="17" spans="1:9" x14ac:dyDescent="0.25">
      <c r="A17" s="58"/>
      <c r="B17" s="55" t="s">
        <v>17</v>
      </c>
      <c r="C17" s="56"/>
      <c r="D17" s="45"/>
      <c r="E17" s="56"/>
      <c r="F17" s="45"/>
      <c r="G17" s="56"/>
      <c r="H17" s="45"/>
      <c r="I17" s="58"/>
    </row>
    <row r="18" spans="1:9" x14ac:dyDescent="0.25">
      <c r="A18" s="58"/>
      <c r="B18" s="26" t="s">
        <v>17</v>
      </c>
      <c r="C18" s="44">
        <f>'Fane 6. Ikke-påvirkelige omk.'!C14*(1+'Fane 15. Nøgletal'!C12)+'Fane 6. Ikke-påvirkelige omk.'!C19+'Fane 6. Ikke-påvirkelige omk.'!C27</f>
        <v>241584.01618965343</v>
      </c>
      <c r="D18" s="11" t="s">
        <v>3</v>
      </c>
      <c r="E18" s="44">
        <f>'Fane 6. Ikke-påvirkelige omk.'!J14*(1+'Fane 15. Nøgletal'!C12)+'Fane 6. Ikke-påvirkelige omk.'!J19+'Fane 6. Ikke-påvirkelige omk.'!J27</f>
        <v>2050271.1287389086</v>
      </c>
      <c r="F18" s="11" t="s">
        <v>3</v>
      </c>
      <c r="G18" s="44">
        <f>'Fane 6. Ikke-påvirkelige omk.'!P15*(1+'Fane 15. Nøgletal'!C12)+'Fane 6. Ikke-påvirkelige omk.'!P20+'Fane 6. Ikke-påvirkelige omk.'!P28</f>
        <v>2291855.144928562</v>
      </c>
      <c r="H18" s="11" t="s">
        <v>3</v>
      </c>
      <c r="I18" s="58"/>
    </row>
    <row r="19" spans="1:9" x14ac:dyDescent="0.25">
      <c r="A19" s="58"/>
      <c r="B19" s="55" t="s">
        <v>142</v>
      </c>
      <c r="C19" s="56"/>
      <c r="D19" s="45"/>
      <c r="E19" s="56"/>
      <c r="F19" s="45"/>
      <c r="G19" s="56"/>
      <c r="H19" s="45"/>
      <c r="I19" s="58"/>
    </row>
    <row r="20" spans="1:9" x14ac:dyDescent="0.25">
      <c r="A20" s="58"/>
      <c r="B20" s="51" t="s">
        <v>143</v>
      </c>
      <c r="C20" s="44">
        <f>'Fane 11. Periodevise driftsomk.'!E18</f>
        <v>0</v>
      </c>
      <c r="D20" s="11" t="s">
        <v>3</v>
      </c>
      <c r="E20" s="44">
        <f>+'Fane 11. Periodevise driftsomk.'!G18</f>
        <v>0</v>
      </c>
      <c r="F20" s="11" t="s">
        <v>3</v>
      </c>
      <c r="G20" s="44">
        <f>+'Fane 11. Periodevise driftsomk.'!I18</f>
        <v>0</v>
      </c>
      <c r="H20" s="11" t="s">
        <v>3</v>
      </c>
      <c r="I20" s="58"/>
    </row>
    <row r="21" spans="1:9" x14ac:dyDescent="0.25">
      <c r="A21" s="58"/>
      <c r="B21" s="55" t="s">
        <v>141</v>
      </c>
      <c r="C21" s="56"/>
      <c r="D21" s="45"/>
      <c r="E21" s="56"/>
      <c r="F21" s="45"/>
      <c r="G21" s="56"/>
      <c r="H21" s="45"/>
      <c r="I21" s="58"/>
    </row>
    <row r="22" spans="1:9" x14ac:dyDescent="0.25">
      <c r="A22" s="58"/>
      <c r="B22" s="53" t="s">
        <v>137</v>
      </c>
      <c r="C22" s="7">
        <f>'Fane 10.2. Engangstillæg'!C22</f>
        <v>0</v>
      </c>
      <c r="D22" s="8" t="s">
        <v>3</v>
      </c>
      <c r="E22" s="7">
        <f>+'Fane 10.2. Engangstillæg'!J22</f>
        <v>0</v>
      </c>
      <c r="F22" s="8" t="s">
        <v>3</v>
      </c>
      <c r="G22" s="7">
        <f>+C22+E22</f>
        <v>0</v>
      </c>
      <c r="H22" s="8" t="s">
        <v>3</v>
      </c>
      <c r="I22" s="58"/>
    </row>
    <row r="23" spans="1:9" x14ac:dyDescent="0.25">
      <c r="A23" s="58"/>
      <c r="B23" s="53" t="s">
        <v>138</v>
      </c>
      <c r="C23" s="7">
        <f>'Fane 10.2. Engangstillæg'!E22</f>
        <v>0</v>
      </c>
      <c r="D23" s="8" t="s">
        <v>3</v>
      </c>
      <c r="E23" s="7">
        <f>+'Fane 10.2. Engangstillæg'!L22</f>
        <v>0</v>
      </c>
      <c r="F23" s="8" t="s">
        <v>3</v>
      </c>
      <c r="G23" s="7">
        <f>+C23+E23</f>
        <v>0</v>
      </c>
      <c r="H23" s="8" t="s">
        <v>3</v>
      </c>
      <c r="I23" s="58"/>
    </row>
    <row r="24" spans="1:9" x14ac:dyDescent="0.25">
      <c r="A24" s="58"/>
      <c r="B24" s="51" t="s">
        <v>144</v>
      </c>
      <c r="C24" s="44">
        <f>SUM(C22:C23)</f>
        <v>0</v>
      </c>
      <c r="D24" s="11" t="s">
        <v>3</v>
      </c>
      <c r="E24" s="44">
        <f>+E22+E23</f>
        <v>0</v>
      </c>
      <c r="F24" s="11" t="s">
        <v>3</v>
      </c>
      <c r="G24" s="44">
        <f>+G22+G23</f>
        <v>0</v>
      </c>
      <c r="H24" s="11" t="s">
        <v>3</v>
      </c>
      <c r="I24" s="58"/>
    </row>
    <row r="25" spans="1:9" x14ac:dyDescent="0.25">
      <c r="A25" s="58"/>
      <c r="B25" s="55" t="s">
        <v>171</v>
      </c>
      <c r="C25" s="73"/>
      <c r="D25" s="79"/>
      <c r="E25" s="73"/>
      <c r="F25" s="79"/>
      <c r="G25" s="56"/>
      <c r="H25" s="45"/>
      <c r="I25" s="58"/>
    </row>
    <row r="26" spans="1:9" ht="26.25" x14ac:dyDescent="0.25">
      <c r="A26" s="58"/>
      <c r="B26" s="26" t="s">
        <v>206</v>
      </c>
      <c r="C26" s="75"/>
      <c r="D26" s="76"/>
      <c r="E26" s="77"/>
      <c r="F26" s="27"/>
      <c r="G26" s="72">
        <f>+'Fane 7. Kontrol af ØR2018'!I28</f>
        <v>0</v>
      </c>
      <c r="H26" s="11" t="s">
        <v>3</v>
      </c>
      <c r="I26" s="58"/>
    </row>
    <row r="27" spans="1:9" ht="15.75" customHeight="1" x14ac:dyDescent="0.25">
      <c r="A27" s="58"/>
      <c r="B27" s="55" t="s">
        <v>43</v>
      </c>
      <c r="C27" s="80">
        <f>SUM(C16,C18,C20,C24,C26)</f>
        <v>66145941.090575278</v>
      </c>
      <c r="D27" s="81" t="s">
        <v>3</v>
      </c>
      <c r="E27" s="80">
        <f>SUM(E16,E18,E20,E24,E26)</f>
        <v>24915932.073231395</v>
      </c>
      <c r="F27" s="81" t="s">
        <v>3</v>
      </c>
      <c r="G27" s="46">
        <f>SUM(G16,G18,G20,G24,G26)</f>
        <v>91061873.163806677</v>
      </c>
      <c r="H27" s="47" t="s">
        <v>3</v>
      </c>
      <c r="I27" s="58"/>
    </row>
    <row r="28" spans="1:9" x14ac:dyDescent="0.25">
      <c r="A28" s="58"/>
      <c r="B28" s="58"/>
      <c r="C28" s="58"/>
      <c r="D28" s="58"/>
      <c r="E28" s="58"/>
      <c r="F28" s="58"/>
      <c r="G28" s="58"/>
      <c r="H28" s="58"/>
      <c r="I28" s="58"/>
    </row>
    <row r="29" spans="1:9" x14ac:dyDescent="0.25">
      <c r="A29" s="58"/>
      <c r="B29" s="58"/>
      <c r="C29" s="58"/>
      <c r="D29" s="58"/>
      <c r="E29" s="58"/>
      <c r="F29" s="58"/>
      <c r="G29" s="58"/>
      <c r="H29" s="58"/>
      <c r="I29" s="58"/>
    </row>
    <row r="30" spans="1:9" x14ac:dyDescent="0.25">
      <c r="A30" s="58"/>
      <c r="B30" s="58"/>
      <c r="C30" s="58"/>
      <c r="D30" s="58"/>
      <c r="E30" s="58"/>
      <c r="F30" s="58"/>
      <c r="G30" s="58"/>
      <c r="H30" s="58"/>
      <c r="I30" s="58"/>
    </row>
    <row r="31" spans="1:9" x14ac:dyDescent="0.25">
      <c r="A31" s="58"/>
      <c r="B31" s="58"/>
      <c r="C31" s="58"/>
      <c r="D31" s="58"/>
      <c r="E31" s="58"/>
      <c r="F31" s="58"/>
      <c r="G31" s="58"/>
      <c r="H31" s="58"/>
      <c r="I31" s="58"/>
    </row>
    <row r="32" spans="1:9" x14ac:dyDescent="0.25">
      <c r="A32" s="58"/>
      <c r="B32" s="58"/>
      <c r="C32" s="58"/>
      <c r="D32" s="58"/>
      <c r="E32" s="58"/>
      <c r="F32" s="58"/>
      <c r="G32" s="58"/>
      <c r="H32" s="58"/>
      <c r="I32" s="58"/>
    </row>
    <row r="33" spans="1:9" x14ac:dyDescent="0.25">
      <c r="A33" s="58"/>
      <c r="B33" s="58"/>
      <c r="C33" s="58"/>
      <c r="D33" s="58"/>
      <c r="E33" s="58"/>
      <c r="F33" s="58"/>
      <c r="G33" s="58"/>
      <c r="H33" s="58"/>
      <c r="I33" s="58"/>
    </row>
    <row r="34" spans="1:9" x14ac:dyDescent="0.25">
      <c r="A34" s="58"/>
      <c r="B34" s="58"/>
      <c r="C34" s="58"/>
      <c r="D34" s="58"/>
      <c r="E34" s="58"/>
      <c r="F34" s="58"/>
      <c r="G34" s="58"/>
      <c r="H34" s="58"/>
      <c r="I34" s="58"/>
    </row>
    <row r="35" spans="1:9" x14ac:dyDescent="0.25">
      <c r="A35" s="58"/>
      <c r="B35" s="58"/>
      <c r="C35" s="58"/>
      <c r="D35" s="58"/>
      <c r="E35" s="58"/>
      <c r="F35" s="58"/>
      <c r="G35" s="58"/>
      <c r="H35" s="58"/>
      <c r="I35" s="58"/>
    </row>
    <row r="36" spans="1:9" x14ac:dyDescent="0.25">
      <c r="A36" s="58"/>
      <c r="B36" s="58"/>
      <c r="C36" s="58"/>
      <c r="D36" s="58"/>
      <c r="E36" s="58"/>
      <c r="F36" s="58"/>
      <c r="G36" s="58"/>
      <c r="H36" s="58"/>
      <c r="I36" s="58"/>
    </row>
    <row r="37" spans="1:9" x14ac:dyDescent="0.25">
      <c r="A37" s="58"/>
      <c r="B37" s="58"/>
      <c r="C37" s="58"/>
      <c r="D37" s="58"/>
      <c r="E37" s="58"/>
      <c r="F37" s="58"/>
      <c r="G37" s="58"/>
      <c r="H37" s="58"/>
      <c r="I37" s="58"/>
    </row>
    <row r="38" spans="1:9" x14ac:dyDescent="0.25">
      <c r="A38" s="58"/>
      <c r="B38" s="58"/>
      <c r="C38" s="58"/>
      <c r="D38" s="58"/>
      <c r="E38" s="58"/>
      <c r="F38" s="58"/>
      <c r="G38" s="58"/>
      <c r="H38" s="58"/>
      <c r="I38" s="58"/>
    </row>
    <row r="39" spans="1:9" x14ac:dyDescent="0.25">
      <c r="A39" s="58"/>
      <c r="B39" s="58"/>
      <c r="C39" s="58"/>
      <c r="D39" s="58"/>
      <c r="E39" s="58"/>
      <c r="F39" s="58"/>
      <c r="G39" s="58"/>
      <c r="H39" s="58"/>
      <c r="I39" s="58"/>
    </row>
    <row r="40" spans="1:9" x14ac:dyDescent="0.25">
      <c r="A40" s="58"/>
      <c r="B40" s="58"/>
      <c r="C40" s="58"/>
      <c r="D40" s="58"/>
      <c r="E40" s="58"/>
      <c r="F40" s="58"/>
      <c r="G40" s="58"/>
      <c r="H40" s="58"/>
      <c r="I40" s="58"/>
    </row>
    <row r="41" spans="1:9" x14ac:dyDescent="0.25">
      <c r="A41" s="58"/>
      <c r="B41" s="58"/>
      <c r="C41" s="58"/>
      <c r="D41" s="58"/>
      <c r="E41" s="58"/>
      <c r="F41" s="58"/>
      <c r="G41" s="58"/>
      <c r="H41" s="58"/>
      <c r="I41" s="58"/>
    </row>
    <row r="42" spans="1:9" x14ac:dyDescent="0.25">
      <c r="A42" s="58"/>
      <c r="B42" s="58"/>
      <c r="C42" s="58"/>
      <c r="D42" s="58"/>
      <c r="E42" s="58"/>
      <c r="F42" s="58"/>
      <c r="G42" s="58"/>
      <c r="H42" s="58"/>
      <c r="I42" s="58"/>
    </row>
    <row r="43" spans="1:9" x14ac:dyDescent="0.25">
      <c r="A43" s="58"/>
      <c r="B43" s="58"/>
      <c r="C43" s="58"/>
      <c r="D43" s="58"/>
      <c r="E43" s="58"/>
      <c r="F43" s="58"/>
      <c r="G43" s="58"/>
      <c r="H43" s="58"/>
      <c r="I43" s="58"/>
    </row>
    <row r="44" spans="1:9" x14ac:dyDescent="0.25">
      <c r="A44" s="58"/>
      <c r="B44" s="58"/>
      <c r="C44" s="58"/>
      <c r="D44" s="58"/>
      <c r="E44" s="58"/>
      <c r="F44" s="58"/>
      <c r="G44" s="58"/>
      <c r="H44" s="58"/>
      <c r="I44" s="58"/>
    </row>
    <row r="45" spans="1:9" x14ac:dyDescent="0.25">
      <c r="A45" s="58"/>
      <c r="B45" s="58"/>
      <c r="C45" s="58"/>
      <c r="D45" s="58"/>
      <c r="E45" s="58"/>
      <c r="F45" s="58"/>
      <c r="G45" s="58"/>
      <c r="H45" s="58"/>
      <c r="I45" s="58"/>
    </row>
    <row r="46" spans="1:9" x14ac:dyDescent="0.25">
      <c r="A46" s="58"/>
      <c r="B46" s="58"/>
      <c r="C46" s="58"/>
      <c r="D46" s="58"/>
      <c r="E46" s="58"/>
      <c r="F46" s="58"/>
      <c r="G46" s="58"/>
      <c r="H46" s="58"/>
      <c r="I46" s="58"/>
    </row>
    <row r="47" spans="1:9" x14ac:dyDescent="0.25">
      <c r="A47" s="58"/>
      <c r="B47" s="58"/>
      <c r="C47" s="58"/>
      <c r="D47" s="58"/>
      <c r="E47" s="58"/>
      <c r="F47" s="58"/>
      <c r="G47" s="58"/>
      <c r="H47" s="58"/>
      <c r="I47" s="58"/>
    </row>
    <row r="48" spans="1:9" x14ac:dyDescent="0.25">
      <c r="A48" s="58"/>
      <c r="B48" s="58"/>
      <c r="C48" s="58"/>
      <c r="D48" s="58"/>
      <c r="E48" s="58"/>
      <c r="F48" s="58"/>
      <c r="G48" s="58"/>
      <c r="H48" s="58"/>
      <c r="I48" s="58"/>
    </row>
    <row r="49" spans="1:9" x14ac:dyDescent="0.25">
      <c r="A49" s="58"/>
      <c r="B49" s="58"/>
      <c r="C49" s="58"/>
      <c r="D49" s="58"/>
      <c r="E49" s="58"/>
      <c r="F49" s="58"/>
      <c r="G49" s="58"/>
      <c r="H49" s="58"/>
      <c r="I49" s="58"/>
    </row>
    <row r="50" spans="1:9" x14ac:dyDescent="0.25">
      <c r="A50" s="58"/>
      <c r="B50" s="58"/>
      <c r="C50" s="58"/>
      <c r="D50" s="58"/>
      <c r="E50" s="58"/>
      <c r="F50" s="58"/>
      <c r="G50" s="58"/>
      <c r="H50" s="58"/>
      <c r="I50" s="58"/>
    </row>
  </sheetData>
  <sheetProtection algorithmName="SHA-512" hashValue="R/f2YU3XMnJwu+kx34QFCVEmijLmASeClsaqZvq2yUfg8h7pPpFsmNwwge2o/89GlaU6XLHNZLFoPLJpz5XNTw==" saltValue="IA4zytrGON+haFr+wDeibg==" spinCount="100000" sheet="1" objects="1" scenarios="1"/>
  <mergeCells count="1">
    <mergeCell ref="B3:H4"/>
  </mergeCells>
  <pageMargins left="0.34722222222222221" right="0.29166666666666669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showGridLines="0" view="pageLayout" zoomScaleNormal="100" workbookViewId="0">
      <selection activeCell="E26" sqref="E26"/>
    </sheetView>
  </sheetViews>
  <sheetFormatPr defaultColWidth="9.140625" defaultRowHeight="15" x14ac:dyDescent="0.25"/>
  <cols>
    <col min="1" max="1" width="5.140625" style="48" customWidth="1"/>
    <col min="2" max="2" width="31.140625" style="48" customWidth="1"/>
    <col min="3" max="3" width="19" style="48" customWidth="1"/>
    <col min="4" max="4" width="3.42578125" style="48" customWidth="1"/>
    <col min="5" max="5" width="14.7109375" style="48" customWidth="1"/>
    <col min="6" max="6" width="3.140625" style="48" customWidth="1"/>
    <col min="7" max="7" width="10.85546875" style="48" customWidth="1"/>
    <col min="8" max="8" width="3.28515625" style="48" customWidth="1"/>
    <col min="9" max="9" width="5.140625" style="48" customWidth="1"/>
    <col min="10" max="16384" width="9.140625" style="48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15" customHeight="1" x14ac:dyDescent="0.25">
      <c r="A3" s="16"/>
      <c r="B3" s="104" t="s">
        <v>240</v>
      </c>
      <c r="C3" s="104"/>
      <c r="D3" s="104"/>
      <c r="E3" s="104"/>
      <c r="F3" s="104"/>
      <c r="G3" s="104"/>
      <c r="H3" s="104"/>
      <c r="I3" s="16"/>
    </row>
    <row r="4" spans="1:9" ht="15" customHeight="1" x14ac:dyDescent="0.25">
      <c r="A4" s="16"/>
      <c r="B4" s="104"/>
      <c r="C4" s="104"/>
      <c r="D4" s="104"/>
      <c r="E4" s="104"/>
      <c r="F4" s="104"/>
      <c r="G4" s="104"/>
      <c r="H4" s="104"/>
      <c r="I4" s="16"/>
    </row>
    <row r="5" spans="1:9" x14ac:dyDescent="0.25">
      <c r="A5" s="16"/>
      <c r="B5" s="106" t="s">
        <v>29</v>
      </c>
      <c r="C5" s="106"/>
      <c r="D5" s="106"/>
      <c r="E5" s="106"/>
      <c r="F5" s="106"/>
      <c r="G5" s="106"/>
      <c r="H5" s="106"/>
      <c r="I5" s="16"/>
    </row>
    <row r="6" spans="1:9" x14ac:dyDescent="0.25">
      <c r="A6" s="16"/>
      <c r="B6" s="60"/>
      <c r="C6" s="60"/>
      <c r="D6" s="60"/>
      <c r="E6" s="60"/>
      <c r="F6" s="60"/>
      <c r="G6" s="60"/>
      <c r="H6" s="60"/>
      <c r="I6" s="16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9" ht="26.25" x14ac:dyDescent="0.25">
      <c r="A8" s="16"/>
      <c r="B8" s="55" t="s">
        <v>19</v>
      </c>
      <c r="C8" s="56" t="s">
        <v>263</v>
      </c>
      <c r="D8" s="56"/>
      <c r="E8" s="56" t="s">
        <v>264</v>
      </c>
      <c r="F8" s="56"/>
      <c r="G8" s="56" t="s">
        <v>259</v>
      </c>
      <c r="H8" s="45"/>
      <c r="I8" s="16"/>
    </row>
    <row r="9" spans="1:9" ht="26.25" x14ac:dyDescent="0.25">
      <c r="A9" s="16"/>
      <c r="B9" s="54" t="s">
        <v>35</v>
      </c>
      <c r="C9" s="7">
        <f>'Fane 2.2. Økonomisk ramme 2021'!C16</f>
        <v>65904357.074385621</v>
      </c>
      <c r="D9" s="8" t="s">
        <v>3</v>
      </c>
      <c r="E9" s="7">
        <f>+'Fane 2.2. Økonomisk ramme 2021'!E16</f>
        <v>22865660.944492485</v>
      </c>
      <c r="F9" s="8" t="s">
        <v>3</v>
      </c>
      <c r="G9" s="7">
        <f>+'Fane 2.2. Økonomisk ramme 2021'!G16</f>
        <v>88770018.018878117</v>
      </c>
      <c r="H9" s="8" t="s">
        <v>3</v>
      </c>
      <c r="I9" s="16"/>
    </row>
    <row r="10" spans="1:9" ht="26.25" x14ac:dyDescent="0.25">
      <c r="A10" s="16"/>
      <c r="B10" s="54" t="s">
        <v>40</v>
      </c>
      <c r="C10" s="7">
        <f>-'Fane 13. Bortfald'!C24</f>
        <v>0</v>
      </c>
      <c r="D10" s="8" t="s">
        <v>3</v>
      </c>
      <c r="E10" s="7">
        <f>+'Fane 13. Bortfald'!K24</f>
        <v>0</v>
      </c>
      <c r="F10" s="8" t="s">
        <v>3</v>
      </c>
      <c r="G10" s="7">
        <f t="shared" ref="G10:G13" si="0">+E10+C10</f>
        <v>0</v>
      </c>
      <c r="H10" s="8" t="s">
        <v>3</v>
      </c>
      <c r="I10" s="16"/>
    </row>
    <row r="11" spans="1:9" ht="26.25" x14ac:dyDescent="0.25">
      <c r="A11" s="16"/>
      <c r="B11" s="54" t="s">
        <v>39</v>
      </c>
      <c r="C11" s="7">
        <f>-'Fane 13. Bortfald'!E24</f>
        <v>0</v>
      </c>
      <c r="D11" s="8" t="s">
        <v>3</v>
      </c>
      <c r="E11" s="7">
        <f>+'Fane 13. Bortfald'!M24</f>
        <v>0</v>
      </c>
      <c r="F11" s="8" t="s">
        <v>3</v>
      </c>
      <c r="G11" s="7">
        <f t="shared" si="0"/>
        <v>0</v>
      </c>
      <c r="H11" s="8" t="s">
        <v>3</v>
      </c>
      <c r="I11" s="16"/>
    </row>
    <row r="12" spans="1:9" x14ac:dyDescent="0.25">
      <c r="A12" s="16"/>
      <c r="B12" s="24" t="s">
        <v>26</v>
      </c>
      <c r="C12" s="7">
        <f>SUM(C9:C11)*'Fane 15. Nøgletal'!C12</f>
        <v>1298315.8343653968</v>
      </c>
      <c r="D12" s="8" t="s">
        <v>3</v>
      </c>
      <c r="E12" s="7">
        <f>SUM(E9:E11)*'Fane 15. Nøgletal'!C12</f>
        <v>450453.52060650196</v>
      </c>
      <c r="F12" s="8" t="s">
        <v>3</v>
      </c>
      <c r="G12" s="7">
        <f>SUM(G9:G11)*'Fane 15. Nøgletal'!C12</f>
        <v>1748769.3549718987</v>
      </c>
      <c r="H12" s="8" t="s">
        <v>3</v>
      </c>
      <c r="I12" s="16"/>
    </row>
    <row r="13" spans="1:9" x14ac:dyDescent="0.25">
      <c r="A13" s="16"/>
      <c r="B13" s="24" t="s">
        <v>10</v>
      </c>
      <c r="C13" s="7">
        <f>-SUM(C9:C12)*'Fane 5. Individuelt eff. krav'!G11</f>
        <v>0</v>
      </c>
      <c r="D13" s="8" t="s">
        <v>3</v>
      </c>
      <c r="E13" s="7">
        <f>-SUM(E9:E12)*'Fane 5. Individuelt eff. krav'!G17</f>
        <v>-84788.477683784135</v>
      </c>
      <c r="F13" s="8" t="s">
        <v>3</v>
      </c>
      <c r="G13" s="7">
        <f t="shared" si="0"/>
        <v>-84788.477683784135</v>
      </c>
      <c r="H13" s="8" t="s">
        <v>3</v>
      </c>
      <c r="I13" s="16"/>
    </row>
    <row r="14" spans="1:9" x14ac:dyDescent="0.25">
      <c r="A14" s="16"/>
      <c r="B14" s="24" t="s">
        <v>37</v>
      </c>
      <c r="C14" s="7">
        <f>-'Fane 4.1. Gen. krav - drift'!G40</f>
        <v>-267197.3986318938</v>
      </c>
      <c r="D14" s="8" t="s">
        <v>3</v>
      </c>
      <c r="E14" s="7">
        <f>-'Fane 4.1. Gen. krav - drift'!I40</f>
        <v>-331698.18415055261</v>
      </c>
      <c r="F14" s="8" t="s">
        <v>3</v>
      </c>
      <c r="G14" s="7">
        <f>-'Fane 4.1. Gen. krav - drift'!K40</f>
        <v>-598895.58278244652</v>
      </c>
      <c r="H14" s="8" t="s">
        <v>3</v>
      </c>
      <c r="I14" s="16"/>
    </row>
    <row r="15" spans="1:9" x14ac:dyDescent="0.25">
      <c r="A15" s="16"/>
      <c r="B15" s="24" t="s">
        <v>38</v>
      </c>
      <c r="C15" s="7">
        <f>-'Fane 4.2. Gen. krav - anlæg'!G37</f>
        <v>-1529135.6045512406</v>
      </c>
      <c r="D15" s="8" t="s">
        <v>3</v>
      </c>
      <c r="E15" s="7">
        <f>-'Fane 4.2. Gen. krav - anlæg'!I37</f>
        <v>-196178.18054857443</v>
      </c>
      <c r="F15" s="8" t="s">
        <v>3</v>
      </c>
      <c r="G15" s="7">
        <f>-'Fane 4.2. Gen. krav - anlæg'!K37</f>
        <v>-1725313.7850998156</v>
      </c>
      <c r="H15" s="8" t="s">
        <v>3</v>
      </c>
      <c r="I15" s="16"/>
    </row>
    <row r="16" spans="1:9" x14ac:dyDescent="0.25">
      <c r="A16" s="16"/>
      <c r="B16" s="26" t="s">
        <v>28</v>
      </c>
      <c r="C16" s="44">
        <f>SUM(C9:C15)</f>
        <v>65406339.905567877</v>
      </c>
      <c r="D16" s="11" t="s">
        <v>3</v>
      </c>
      <c r="E16" s="44">
        <f>SUM(E9:E15)</f>
        <v>22703449.622716077</v>
      </c>
      <c r="F16" s="11" t="s">
        <v>3</v>
      </c>
      <c r="G16" s="44">
        <f>SUM(G9:G15)</f>
        <v>88109789.528283969</v>
      </c>
      <c r="H16" s="11" t="s">
        <v>3</v>
      </c>
      <c r="I16" s="16"/>
    </row>
    <row r="17" spans="1:9" x14ac:dyDescent="0.25">
      <c r="A17" s="16"/>
      <c r="B17" s="55" t="s">
        <v>17</v>
      </c>
      <c r="C17" s="56"/>
      <c r="D17" s="45"/>
      <c r="E17" s="56"/>
      <c r="F17" s="45"/>
      <c r="G17" s="56"/>
      <c r="H17" s="45"/>
      <c r="I17" s="16"/>
    </row>
    <row r="18" spans="1:9" x14ac:dyDescent="0.25">
      <c r="A18" s="16"/>
      <c r="B18" s="26" t="s">
        <v>17</v>
      </c>
      <c r="C18" s="44">
        <f>'Fane 6. Ikke-påvirkelige omk.'!C14*(1+'Fane 15. Nøgletal'!C12)^2+'Fane 6. Ikke-påvirkelige omk.'!C20+'Fane 6. Ikke-påvirkelige omk.'!C28</f>
        <v>246343.22130858962</v>
      </c>
      <c r="D18" s="11" t="s">
        <v>3</v>
      </c>
      <c r="E18" s="44">
        <f>'Fane 6. Ikke-påvirkelige omk.'!J14*(1+'Fane 15. Nøgletal'!C12)^2+'Fane 6. Ikke-påvirkelige omk.'!J19+'Fane 6. Ikke-påvirkelige omk.'!J27</f>
        <v>2090661.4699750652</v>
      </c>
      <c r="F18" s="11" t="s">
        <v>3</v>
      </c>
      <c r="G18" s="44">
        <f>'Fane 6. Ikke-påvirkelige omk.'!P15*(1+'Fane 15. Nøgletal'!C12)^2+'Fane 6. Ikke-påvirkelige omk.'!P20+'Fane 6. Ikke-påvirkelige omk.'!P28</f>
        <v>2337004.6912836549</v>
      </c>
      <c r="H18" s="11" t="s">
        <v>3</v>
      </c>
      <c r="I18" s="16"/>
    </row>
    <row r="19" spans="1:9" x14ac:dyDescent="0.25">
      <c r="A19" s="16"/>
      <c r="B19" s="55" t="s">
        <v>142</v>
      </c>
      <c r="C19" s="56"/>
      <c r="D19" s="45"/>
      <c r="E19" s="56"/>
      <c r="F19" s="45"/>
      <c r="G19" s="56"/>
      <c r="H19" s="45"/>
      <c r="I19" s="16"/>
    </row>
    <row r="20" spans="1:9" x14ac:dyDescent="0.25">
      <c r="A20" s="16"/>
      <c r="B20" s="51" t="s">
        <v>143</v>
      </c>
      <c r="C20" s="44">
        <f>'Fane 11. Periodevise driftsomk.'!E24</f>
        <v>0</v>
      </c>
      <c r="D20" s="11" t="s">
        <v>3</v>
      </c>
      <c r="E20" s="44">
        <f>+'Fane 11. Periodevise driftsomk.'!G24</f>
        <v>0</v>
      </c>
      <c r="F20" s="11" t="s">
        <v>3</v>
      </c>
      <c r="G20" s="44">
        <f>+'Fane 11. Periodevise driftsomk.'!I24</f>
        <v>0</v>
      </c>
      <c r="H20" s="11" t="s">
        <v>3</v>
      </c>
      <c r="I20" s="16"/>
    </row>
    <row r="21" spans="1:9" x14ac:dyDescent="0.25">
      <c r="A21" s="16"/>
      <c r="B21" s="55" t="s">
        <v>141</v>
      </c>
      <c r="C21" s="56"/>
      <c r="D21" s="45"/>
      <c r="E21" s="56"/>
      <c r="F21" s="45"/>
      <c r="G21" s="56"/>
      <c r="H21" s="45"/>
      <c r="I21" s="16"/>
    </row>
    <row r="22" spans="1:9" x14ac:dyDescent="0.25">
      <c r="A22" s="16"/>
      <c r="B22" s="53" t="s">
        <v>137</v>
      </c>
      <c r="C22" s="7">
        <f>'Fane 10.2. Engangstillæg'!C30</f>
        <v>0</v>
      </c>
      <c r="D22" s="8" t="s">
        <v>3</v>
      </c>
      <c r="E22" s="7">
        <f>+'Fane 10.2. Engangstillæg'!J30</f>
        <v>0</v>
      </c>
      <c r="F22" s="8" t="s">
        <v>3</v>
      </c>
      <c r="G22" s="7">
        <f>+C22+E22</f>
        <v>0</v>
      </c>
      <c r="H22" s="8" t="s">
        <v>3</v>
      </c>
      <c r="I22" s="16"/>
    </row>
    <row r="23" spans="1:9" x14ac:dyDescent="0.25">
      <c r="A23" s="16"/>
      <c r="B23" s="53" t="s">
        <v>138</v>
      </c>
      <c r="C23" s="7">
        <f>'Fane 10.2. Engangstillæg'!E30</f>
        <v>0</v>
      </c>
      <c r="D23" s="8" t="s">
        <v>3</v>
      </c>
      <c r="E23" s="7">
        <f>+'Fane 10.2. Engangstillæg'!L30</f>
        <v>0</v>
      </c>
      <c r="F23" s="8" t="s">
        <v>3</v>
      </c>
      <c r="G23" s="7">
        <f>+C23+E23</f>
        <v>0</v>
      </c>
      <c r="H23" s="8" t="s">
        <v>3</v>
      </c>
      <c r="I23" s="16"/>
    </row>
    <row r="24" spans="1:9" x14ac:dyDescent="0.25">
      <c r="A24" s="16"/>
      <c r="B24" s="51" t="s">
        <v>144</v>
      </c>
      <c r="C24" s="44">
        <f>SUM(C22:C23)</f>
        <v>0</v>
      </c>
      <c r="D24" s="11" t="s">
        <v>3</v>
      </c>
      <c r="E24" s="44">
        <f>+E22+E23</f>
        <v>0</v>
      </c>
      <c r="F24" s="11" t="s">
        <v>3</v>
      </c>
      <c r="G24" s="44">
        <f>+E24+C24</f>
        <v>0</v>
      </c>
      <c r="H24" s="11" t="s">
        <v>3</v>
      </c>
      <c r="I24" s="16"/>
    </row>
    <row r="25" spans="1:9" ht="16.5" customHeight="1" x14ac:dyDescent="0.25">
      <c r="A25" s="16"/>
      <c r="B25" s="55" t="s">
        <v>44</v>
      </c>
      <c r="C25" s="46">
        <f>SUM(C16,C18,C20,C24)</f>
        <v>65652683.126876466</v>
      </c>
      <c r="D25" s="47" t="s">
        <v>3</v>
      </c>
      <c r="E25" s="46">
        <f>SUM(E16,E18,E20,E24)</f>
        <v>24794111.092691142</v>
      </c>
      <c r="F25" s="47" t="s">
        <v>3</v>
      </c>
      <c r="G25" s="46">
        <f>SUM(G16,G18,G20,G24)</f>
        <v>90446794.219567627</v>
      </c>
      <c r="H25" s="47" t="s">
        <v>3</v>
      </c>
      <c r="I25" s="16"/>
    </row>
    <row r="26" spans="1:9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x14ac:dyDescent="0.25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25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25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25">
      <c r="A31" s="16"/>
      <c r="B31" s="16"/>
      <c r="C31" s="16"/>
      <c r="D31" s="16"/>
      <c r="E31" s="16"/>
      <c r="F31" s="16"/>
      <c r="G31" s="16"/>
      <c r="H31" s="16"/>
      <c r="I31" s="16"/>
    </row>
    <row r="32" spans="1:9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s="16"/>
      <c r="B34" s="16"/>
      <c r="C34" s="16"/>
      <c r="D34" s="16"/>
      <c r="E34" s="16"/>
      <c r="F34" s="16"/>
      <c r="G34" s="16"/>
      <c r="H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  <row r="42" spans="1:9" x14ac:dyDescent="0.25">
      <c r="A42" s="16"/>
      <c r="B42" s="16"/>
      <c r="C42" s="16"/>
      <c r="D42" s="16"/>
      <c r="E42" s="16"/>
      <c r="F42" s="16"/>
      <c r="G42" s="16"/>
      <c r="H42" s="16"/>
      <c r="I42" s="16"/>
    </row>
    <row r="43" spans="1:9" x14ac:dyDescent="0.25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25">
      <c r="A44" s="16"/>
      <c r="B44" s="16"/>
      <c r="C44" s="16"/>
      <c r="D44" s="16"/>
      <c r="E44" s="16"/>
      <c r="F44" s="16"/>
      <c r="G44" s="16"/>
      <c r="H44" s="16"/>
      <c r="I44" s="16"/>
    </row>
    <row r="45" spans="1:9" x14ac:dyDescent="0.2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2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2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2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2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25">
      <c r="A50" s="16"/>
      <c r="B50" s="16"/>
      <c r="C50" s="16"/>
      <c r="D50" s="16"/>
      <c r="E50" s="16"/>
      <c r="F50" s="16"/>
      <c r="G50" s="16"/>
      <c r="H50" s="16"/>
      <c r="I50" s="16"/>
    </row>
  </sheetData>
  <sheetProtection algorithmName="SHA-512" hashValue="QL6+1NuXlJiGduD3bNiS5FxVmeGgn0XMkXEsWGP0bFboB5MrA4LQmIYZmbFEipCJM4iJilYz/pA1SKAxSfdIeQ==" saltValue="BonkpvvvbTQwpxvZOhi/+w==" spinCount="100000" sheet="1" objects="1" scenarios="1"/>
  <mergeCells count="2">
    <mergeCell ref="B3:H4"/>
    <mergeCell ref="B5:H5"/>
  </mergeCells>
  <pageMargins left="0.3888888888888889" right="0.34027777777777779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50"/>
  <sheetViews>
    <sheetView showGridLines="0" view="pageLayout" topLeftCell="A13" zoomScaleNormal="100" workbookViewId="0">
      <selection activeCell="M34" sqref="M34"/>
    </sheetView>
  </sheetViews>
  <sheetFormatPr defaultColWidth="9.140625" defaultRowHeight="15" x14ac:dyDescent="0.25"/>
  <cols>
    <col min="1" max="1" width="5.140625" style="48" customWidth="1"/>
    <col min="2" max="2" width="32.28515625" style="48" customWidth="1"/>
    <col min="3" max="3" width="19.5703125" style="48" customWidth="1"/>
    <col min="4" max="4" width="3.5703125" style="48" customWidth="1"/>
    <col min="5" max="5" width="15.140625" style="48" customWidth="1"/>
    <col min="6" max="6" width="3.140625" style="48" customWidth="1"/>
    <col min="7" max="7" width="10.85546875" style="48" customWidth="1"/>
    <col min="8" max="8" width="3.28515625" style="48" customWidth="1"/>
    <col min="9" max="9" width="5.140625" style="48" customWidth="1"/>
    <col min="10" max="16384" width="9.140625" style="48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15" customHeight="1" x14ac:dyDescent="0.25">
      <c r="A3" s="16"/>
      <c r="B3" s="104" t="s">
        <v>241</v>
      </c>
      <c r="C3" s="104"/>
      <c r="D3" s="104"/>
      <c r="E3" s="104"/>
      <c r="F3" s="104"/>
      <c r="G3" s="104"/>
      <c r="H3" s="104"/>
      <c r="I3" s="16"/>
    </row>
    <row r="4" spans="1:9" ht="15" customHeight="1" x14ac:dyDescent="0.25">
      <c r="A4" s="16"/>
      <c r="B4" s="104"/>
      <c r="C4" s="104"/>
      <c r="D4" s="104"/>
      <c r="E4" s="104"/>
      <c r="F4" s="104"/>
      <c r="G4" s="104"/>
      <c r="H4" s="104"/>
      <c r="I4" s="16"/>
    </row>
    <row r="5" spans="1:9" x14ac:dyDescent="0.25">
      <c r="A5" s="16"/>
      <c r="B5" s="106" t="s">
        <v>29</v>
      </c>
      <c r="C5" s="106"/>
      <c r="D5" s="106"/>
      <c r="E5" s="106"/>
      <c r="F5" s="106"/>
      <c r="G5" s="106"/>
      <c r="H5" s="106"/>
      <c r="I5" s="16"/>
    </row>
    <row r="6" spans="1:9" x14ac:dyDescent="0.25">
      <c r="A6" s="16"/>
      <c r="B6" s="60"/>
      <c r="C6" s="60"/>
      <c r="D6" s="60"/>
      <c r="E6" s="60"/>
      <c r="F6" s="60"/>
      <c r="G6" s="60"/>
      <c r="H6" s="60"/>
      <c r="I6" s="16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9" ht="26.25" x14ac:dyDescent="0.25">
      <c r="A8" s="16"/>
      <c r="B8" s="55" t="s">
        <v>19</v>
      </c>
      <c r="C8" s="56" t="s">
        <v>263</v>
      </c>
      <c r="D8" s="56"/>
      <c r="E8" s="56" t="s">
        <v>264</v>
      </c>
      <c r="F8" s="56"/>
      <c r="G8" s="56" t="s">
        <v>259</v>
      </c>
      <c r="H8" s="45"/>
      <c r="I8" s="16"/>
    </row>
    <row r="9" spans="1:9" ht="26.25" x14ac:dyDescent="0.25">
      <c r="A9" s="16"/>
      <c r="B9" s="54" t="s">
        <v>36</v>
      </c>
      <c r="C9" s="7">
        <f>'Fane 2.3. Økonomisk ramme 2022'!C16</f>
        <v>65406339.905567877</v>
      </c>
      <c r="D9" s="8" t="s">
        <v>3</v>
      </c>
      <c r="E9" s="7">
        <f>'Fane 2.3. Økonomisk ramme 2022'!E16</f>
        <v>22703449.622716077</v>
      </c>
      <c r="F9" s="8" t="s">
        <v>3</v>
      </c>
      <c r="G9" s="7">
        <f>'Fane 2.3. Økonomisk ramme 2022'!G16</f>
        <v>88109789.528283969</v>
      </c>
      <c r="H9" s="8" t="s">
        <v>3</v>
      </c>
      <c r="I9" s="16"/>
    </row>
    <row r="10" spans="1:9" ht="26.25" x14ac:dyDescent="0.25">
      <c r="A10" s="16"/>
      <c r="B10" s="54" t="s">
        <v>40</v>
      </c>
      <c r="C10" s="7">
        <f>-'Fane 13. Bortfald'!C30</f>
        <v>0</v>
      </c>
      <c r="D10" s="8" t="s">
        <v>3</v>
      </c>
      <c r="E10" s="7">
        <f>+'Fane 13. Bortfald'!K30</f>
        <v>0</v>
      </c>
      <c r="F10" s="8" t="s">
        <v>3</v>
      </c>
      <c r="G10" s="7">
        <f t="shared" ref="G10:G13" si="0">+C10+E10</f>
        <v>0</v>
      </c>
      <c r="H10" s="8" t="s">
        <v>3</v>
      </c>
      <c r="I10" s="16"/>
    </row>
    <row r="11" spans="1:9" ht="26.25" x14ac:dyDescent="0.25">
      <c r="A11" s="16"/>
      <c r="B11" s="54" t="s">
        <v>39</v>
      </c>
      <c r="C11" s="7">
        <f>-'Fane 13. Bortfald'!E30</f>
        <v>0</v>
      </c>
      <c r="D11" s="8" t="s">
        <v>3</v>
      </c>
      <c r="E11" s="7">
        <f>+'Fane 13. Bortfald'!M30</f>
        <v>0</v>
      </c>
      <c r="F11" s="8" t="s">
        <v>3</v>
      </c>
      <c r="G11" s="7">
        <f t="shared" si="0"/>
        <v>0</v>
      </c>
      <c r="H11" s="8" t="s">
        <v>3</v>
      </c>
      <c r="I11" s="16"/>
    </row>
    <row r="12" spans="1:9" x14ac:dyDescent="0.25">
      <c r="A12" s="16"/>
      <c r="B12" s="24" t="s">
        <v>26</v>
      </c>
      <c r="C12" s="7">
        <f>C9*'Fane 15. Nøgletal'!C12</f>
        <v>1288504.8961396872</v>
      </c>
      <c r="D12" s="8" t="s">
        <v>3</v>
      </c>
      <c r="E12" s="7">
        <f>E9*'Fane 15. Nøgletal'!C12</f>
        <v>447257.9575675067</v>
      </c>
      <c r="F12" s="8" t="s">
        <v>3</v>
      </c>
      <c r="G12" s="7">
        <f>G9*'Fane 15. Nøgletal'!C12</f>
        <v>1735762.8537071941</v>
      </c>
      <c r="H12" s="8" t="s">
        <v>3</v>
      </c>
      <c r="I12" s="16"/>
    </row>
    <row r="13" spans="1:9" x14ac:dyDescent="0.25">
      <c r="A13" s="16"/>
      <c r="B13" s="24" t="s">
        <v>10</v>
      </c>
      <c r="C13" s="7">
        <f>-SUM(C9:C12)*'Fane 5. Individuelt eff. krav'!G11</f>
        <v>0</v>
      </c>
      <c r="D13" s="8" t="s">
        <v>3</v>
      </c>
      <c r="E13" s="7">
        <f>-SUM(E9:E12)*'Fane 5. Individuelt eff. krav'!G17</f>
        <v>-84186.979609012371</v>
      </c>
      <c r="F13" s="8" t="s">
        <v>3</v>
      </c>
      <c r="G13" s="7">
        <f t="shared" si="0"/>
        <v>-84186.979609012371</v>
      </c>
      <c r="H13" s="8" t="s">
        <v>3</v>
      </c>
      <c r="I13" s="16"/>
    </row>
    <row r="14" spans="1:9" x14ac:dyDescent="0.25">
      <c r="A14" s="16"/>
      <c r="B14" s="24" t="s">
        <v>37</v>
      </c>
      <c r="C14" s="7">
        <f>-'Fane 4.1. Gen. krav - drift'!G46</f>
        <v>-267011.96363724332</v>
      </c>
      <c r="D14" s="8" t="s">
        <v>3</v>
      </c>
      <c r="E14" s="7">
        <f>-'Fane 4.1. Gen. krav - drift'!I46</f>
        <v>-331467.98561075213</v>
      </c>
      <c r="F14" s="8" t="s">
        <v>3</v>
      </c>
      <c r="G14" s="7">
        <f>-'Fane 4.1. Gen. krav - drift'!K46</f>
        <v>-598479.94924799551</v>
      </c>
      <c r="H14" s="8" t="s">
        <v>3</v>
      </c>
      <c r="I14" s="16"/>
    </row>
    <row r="15" spans="1:9" x14ac:dyDescent="0.25">
      <c r="A15" s="16"/>
      <c r="B15" s="24" t="s">
        <v>38</v>
      </c>
      <c r="C15" s="7">
        <f>-'Fane 4.2. Gen. krav - anlæg'!G43</f>
        <v>-1514976.6040036106</v>
      </c>
      <c r="D15" s="8" t="s">
        <v>3</v>
      </c>
      <c r="E15" s="7">
        <f>-'Fane 4.2. Gen. krav - anlæg'!I43</f>
        <v>-194361.67260934849</v>
      </c>
      <c r="F15" s="8" t="s">
        <v>3</v>
      </c>
      <c r="G15" s="7">
        <f>-'Fane 4.2. Gen. krav - anlæg'!K43</f>
        <v>-1709338.2766129596</v>
      </c>
      <c r="H15" s="8" t="s">
        <v>3</v>
      </c>
      <c r="I15" s="16"/>
    </row>
    <row r="16" spans="1:9" x14ac:dyDescent="0.25">
      <c r="A16" s="16"/>
      <c r="B16" s="26" t="s">
        <v>28</v>
      </c>
      <c r="C16" s="44">
        <f>SUM(C9:C15)</f>
        <v>64912856.234066717</v>
      </c>
      <c r="D16" s="11" t="s">
        <v>3</v>
      </c>
      <c r="E16" s="44">
        <f>SUM(E9:E15)</f>
        <v>22540690.942454468</v>
      </c>
      <c r="F16" s="11" t="s">
        <v>3</v>
      </c>
      <c r="G16" s="44">
        <f>SUM(G9:G15)</f>
        <v>87453547.176521197</v>
      </c>
      <c r="H16" s="11" t="s">
        <v>3</v>
      </c>
      <c r="I16" s="16"/>
    </row>
    <row r="17" spans="1:9" x14ac:dyDescent="0.25">
      <c r="A17" s="16"/>
      <c r="B17" s="55" t="s">
        <v>17</v>
      </c>
      <c r="C17" s="56"/>
      <c r="D17" s="45"/>
      <c r="E17" s="56"/>
      <c r="F17" s="45"/>
      <c r="G17" s="56"/>
      <c r="H17" s="45"/>
      <c r="I17" s="16"/>
    </row>
    <row r="18" spans="1:9" x14ac:dyDescent="0.25">
      <c r="A18" s="16"/>
      <c r="B18" s="26" t="s">
        <v>17</v>
      </c>
      <c r="C18" s="44">
        <f>'Fane 6. Ikke-påvirkelige omk.'!C14*(1+'Fane 15. Nøgletal'!C12)^3+'Fane 6. Ikke-påvirkelige omk.'!C21+'Fane 6. Ikke-påvirkelige omk.'!C29</f>
        <v>251196.18276836883</v>
      </c>
      <c r="D18" s="11" t="s">
        <v>3</v>
      </c>
      <c r="E18" s="44">
        <f>'Fane 6. Ikke-påvirkelige omk.'!J14*(1+'Fane 15. Nøgletal'!C12)^3+'Fane 6. Ikke-påvirkelige omk.'!J19+'Fane 6. Ikke-påvirkelige omk.'!J27</f>
        <v>2131847.500933574</v>
      </c>
      <c r="F18" s="11" t="s">
        <v>3</v>
      </c>
      <c r="G18" s="44">
        <f>'Fane 6. Ikke-påvirkelige omk.'!P15*(1+'Fane 15. Nøgletal'!C12)^3+'Fane 6. Ikke-påvirkelige omk.'!P20+'Fane 6. Ikke-påvirkelige omk.'!P28</f>
        <v>2383043.6837019427</v>
      </c>
      <c r="H18" s="11" t="s">
        <v>3</v>
      </c>
      <c r="I18" s="16"/>
    </row>
    <row r="19" spans="1:9" x14ac:dyDescent="0.25">
      <c r="A19" s="16"/>
      <c r="B19" s="55" t="s">
        <v>142</v>
      </c>
      <c r="C19" s="56"/>
      <c r="D19" s="45"/>
      <c r="E19" s="56"/>
      <c r="F19" s="45"/>
      <c r="G19" s="56"/>
      <c r="H19" s="45"/>
      <c r="I19" s="16"/>
    </row>
    <row r="20" spans="1:9" x14ac:dyDescent="0.25">
      <c r="A20" s="16"/>
      <c r="B20" s="51" t="s">
        <v>143</v>
      </c>
      <c r="C20" s="44">
        <f>'Fane 11. Periodevise driftsomk.'!E30</f>
        <v>0</v>
      </c>
      <c r="D20" s="11" t="s">
        <v>3</v>
      </c>
      <c r="E20" s="44">
        <f>'Fane 11. Periodevise driftsomk.'!G30</f>
        <v>0</v>
      </c>
      <c r="F20" s="11" t="s">
        <v>3</v>
      </c>
      <c r="G20" s="44">
        <f>'Fane 11. Periodevise driftsomk.'!I30</f>
        <v>0</v>
      </c>
      <c r="H20" s="11" t="s">
        <v>3</v>
      </c>
      <c r="I20" s="16"/>
    </row>
    <row r="21" spans="1:9" x14ac:dyDescent="0.25">
      <c r="A21" s="16"/>
      <c r="B21" s="55" t="s">
        <v>141</v>
      </c>
      <c r="C21" s="56"/>
      <c r="D21" s="45"/>
      <c r="E21" s="56"/>
      <c r="F21" s="45"/>
      <c r="G21" s="56"/>
      <c r="H21" s="45"/>
      <c r="I21" s="16"/>
    </row>
    <row r="22" spans="1:9" x14ac:dyDescent="0.25">
      <c r="A22" s="16"/>
      <c r="B22" s="53" t="s">
        <v>137</v>
      </c>
      <c r="C22" s="7">
        <f>'Fane 10.2. Engangstillæg'!C38</f>
        <v>0</v>
      </c>
      <c r="D22" s="8" t="s">
        <v>3</v>
      </c>
      <c r="E22" s="7">
        <f>+'Fane 10.2. Engangstillæg'!J38</f>
        <v>0</v>
      </c>
      <c r="F22" s="8" t="s">
        <v>3</v>
      </c>
      <c r="G22" s="7">
        <f>+C22+E22</f>
        <v>0</v>
      </c>
      <c r="H22" s="8" t="s">
        <v>3</v>
      </c>
      <c r="I22" s="16"/>
    </row>
    <row r="23" spans="1:9" x14ac:dyDescent="0.25">
      <c r="A23" s="16"/>
      <c r="B23" s="53" t="s">
        <v>138</v>
      </c>
      <c r="C23" s="7">
        <f>'Fane 10.2. Engangstillæg'!E38</f>
        <v>0</v>
      </c>
      <c r="D23" s="8" t="s">
        <v>3</v>
      </c>
      <c r="E23" s="7">
        <f>+'Fane 10.2. Engangstillæg'!L38</f>
        <v>0</v>
      </c>
      <c r="F23" s="8" t="s">
        <v>3</v>
      </c>
      <c r="G23" s="7">
        <f>+C23+E23</f>
        <v>0</v>
      </c>
      <c r="H23" s="8" t="s">
        <v>3</v>
      </c>
      <c r="I23" s="16"/>
    </row>
    <row r="24" spans="1:9" x14ac:dyDescent="0.25">
      <c r="A24" s="16"/>
      <c r="B24" s="51" t="s">
        <v>144</v>
      </c>
      <c r="C24" s="44">
        <f>SUM(C22:C23)</f>
        <v>0</v>
      </c>
      <c r="D24" s="11" t="s">
        <v>3</v>
      </c>
      <c r="E24" s="44">
        <f>+E22+E23</f>
        <v>0</v>
      </c>
      <c r="F24" s="11" t="s">
        <v>3</v>
      </c>
      <c r="G24" s="44">
        <f>+G22+G23</f>
        <v>0</v>
      </c>
      <c r="H24" s="11" t="s">
        <v>3</v>
      </c>
      <c r="I24" s="16"/>
    </row>
    <row r="25" spans="1:9" ht="14.25" customHeight="1" x14ac:dyDescent="0.25">
      <c r="A25" s="16"/>
      <c r="B25" s="55" t="s">
        <v>155</v>
      </c>
      <c r="C25" s="46">
        <f>SUM(C16,C18,C20,C24)</f>
        <v>65164052.416835085</v>
      </c>
      <c r="D25" s="47" t="s">
        <v>3</v>
      </c>
      <c r="E25" s="46">
        <f>SUM(E16,E18,E20,E24)</f>
        <v>24672538.443388041</v>
      </c>
      <c r="F25" s="47" t="s">
        <v>3</v>
      </c>
      <c r="G25" s="46">
        <f>SUM(G16,G18,G20,G24)</f>
        <v>89836590.860223144</v>
      </c>
      <c r="H25" s="47" t="s">
        <v>3</v>
      </c>
      <c r="I25" s="16"/>
    </row>
    <row r="26" spans="1:9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x14ac:dyDescent="0.25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25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25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25">
      <c r="A31" s="16"/>
      <c r="B31" s="16"/>
      <c r="C31" s="16"/>
      <c r="D31" s="16"/>
      <c r="E31" s="16"/>
      <c r="F31" s="16"/>
      <c r="G31" s="16"/>
      <c r="H31" s="16"/>
      <c r="I31" s="16"/>
    </row>
    <row r="32" spans="1:9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s="16"/>
      <c r="B34" s="16"/>
      <c r="C34" s="16"/>
      <c r="D34" s="16"/>
      <c r="E34" s="16"/>
      <c r="F34" s="16"/>
      <c r="G34" s="16"/>
      <c r="H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  <row r="42" spans="1:9" x14ac:dyDescent="0.25">
      <c r="A42" s="16"/>
      <c r="B42" s="16"/>
      <c r="C42" s="16"/>
      <c r="D42" s="16"/>
      <c r="E42" s="16"/>
      <c r="F42" s="16"/>
      <c r="G42" s="16"/>
      <c r="H42" s="16"/>
      <c r="I42" s="16"/>
    </row>
    <row r="43" spans="1:9" x14ac:dyDescent="0.25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25">
      <c r="A44" s="16"/>
      <c r="B44" s="16"/>
      <c r="C44" s="16"/>
      <c r="D44" s="16"/>
      <c r="E44" s="16"/>
      <c r="F44" s="16"/>
      <c r="G44" s="16"/>
      <c r="H44" s="16"/>
      <c r="I44" s="16"/>
    </row>
    <row r="45" spans="1:9" x14ac:dyDescent="0.2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2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2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2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2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25">
      <c r="A50" s="16"/>
      <c r="B50" s="16"/>
      <c r="C50" s="16"/>
      <c r="D50" s="16"/>
      <c r="E50" s="16"/>
      <c r="F50" s="16"/>
      <c r="G50" s="16"/>
      <c r="H50" s="16"/>
      <c r="I50" s="16"/>
    </row>
  </sheetData>
  <sheetProtection algorithmName="SHA-512" hashValue="KMjy3oUFinfV8aSsRo8nalzsmREt9wUEmOzBkM3ivXHstAZRSokzTMW9872m6Vy2AWBd+jbsMtJVWiNFZ08kdg==" saltValue="E0xLtWaGi6Gg5U+wCNAY2A==" spinCount="100000" sheet="1" objects="1" scenarios="1"/>
  <mergeCells count="2">
    <mergeCell ref="B3:H4"/>
    <mergeCell ref="B5:H5"/>
  </mergeCells>
  <pageMargins left="0.33333333333333331" right="0.22222222222222221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K47"/>
  <sheetViews>
    <sheetView showGridLines="0" view="pageLayout" topLeftCell="A2" zoomScaleNormal="100" workbookViewId="0">
      <selection activeCell="B8" sqref="B8:D8"/>
    </sheetView>
  </sheetViews>
  <sheetFormatPr defaultColWidth="9.140625" defaultRowHeight="15" x14ac:dyDescent="0.25"/>
  <cols>
    <col min="1" max="1" width="5.42578125" style="48" customWidth="1"/>
    <col min="2" max="2" width="12.28515625" style="48" customWidth="1"/>
    <col min="3" max="3" width="12" style="48" customWidth="1"/>
    <col min="4" max="4" width="13.7109375" style="48" customWidth="1"/>
    <col min="5" max="5" width="16.140625" style="48" customWidth="1"/>
    <col min="6" max="6" width="3.140625" style="48" customWidth="1"/>
    <col min="7" max="7" width="11.42578125" style="48" customWidth="1"/>
    <col min="8" max="8" width="3.140625" style="48" customWidth="1"/>
    <col min="9" max="9" width="10.85546875" style="48" customWidth="1"/>
    <col min="10" max="10" width="3.5703125" style="48" bestFit="1" customWidth="1"/>
    <col min="11" max="11" width="4.85546875" style="48" customWidth="1"/>
    <col min="12" max="16384" width="9.140625" style="48"/>
  </cols>
  <sheetData>
    <row r="1" spans="1:1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customHeight="1" x14ac:dyDescent="0.25">
      <c r="A3" s="16"/>
      <c r="B3" s="104" t="s">
        <v>237</v>
      </c>
      <c r="C3" s="104"/>
      <c r="D3" s="104"/>
      <c r="E3" s="104"/>
      <c r="F3" s="104"/>
      <c r="G3" s="104"/>
      <c r="H3" s="104"/>
      <c r="I3" s="104"/>
      <c r="J3" s="104"/>
      <c r="K3" s="16"/>
    </row>
    <row r="4" spans="1:11" ht="29.25" customHeight="1" x14ac:dyDescent="0.25">
      <c r="A4" s="16"/>
      <c r="B4" s="104"/>
      <c r="C4" s="104"/>
      <c r="D4" s="104"/>
      <c r="E4" s="104"/>
      <c r="F4" s="104"/>
      <c r="G4" s="104"/>
      <c r="H4" s="104"/>
      <c r="I4" s="104"/>
      <c r="J4" s="104"/>
      <c r="K4" s="16"/>
    </row>
    <row r="5" spans="1:1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26.25" x14ac:dyDescent="0.25">
      <c r="A8" s="16"/>
      <c r="B8" s="107" t="s">
        <v>79</v>
      </c>
      <c r="C8" s="108"/>
      <c r="D8" s="108"/>
      <c r="E8" s="56" t="s">
        <v>263</v>
      </c>
      <c r="F8" s="56"/>
      <c r="G8" s="56" t="s">
        <v>264</v>
      </c>
      <c r="H8" s="56"/>
      <c r="I8" s="56" t="s">
        <v>259</v>
      </c>
      <c r="J8" s="45"/>
      <c r="K8" s="16"/>
    </row>
    <row r="9" spans="1:11" ht="28.5" customHeight="1" x14ac:dyDescent="0.25">
      <c r="A9" s="16"/>
      <c r="B9" s="113" t="s">
        <v>77</v>
      </c>
      <c r="C9" s="114"/>
      <c r="D9" s="115"/>
      <c r="E9" s="7">
        <v>66689214.537726358</v>
      </c>
      <c r="F9" s="8" t="s">
        <v>3</v>
      </c>
      <c r="G9" s="7">
        <v>23238613.902293645</v>
      </c>
      <c r="H9" s="8" t="s">
        <v>3</v>
      </c>
      <c r="I9" s="7">
        <f>+E9+G9</f>
        <v>89927828.440019995</v>
      </c>
      <c r="J9" s="8" t="s">
        <v>3</v>
      </c>
      <c r="K9" s="16"/>
    </row>
    <row r="10" spans="1:11" x14ac:dyDescent="0.25">
      <c r="A10" s="16"/>
      <c r="B10" s="116" t="s">
        <v>62</v>
      </c>
      <c r="C10" s="117"/>
      <c r="D10" s="118"/>
      <c r="E10" s="7">
        <v>0</v>
      </c>
      <c r="F10" s="8" t="s">
        <v>3</v>
      </c>
      <c r="G10" s="7">
        <v>0</v>
      </c>
      <c r="H10" s="8" t="s">
        <v>3</v>
      </c>
      <c r="I10" s="7">
        <f t="shared" ref="I10:I17" si="0">+E10+G10</f>
        <v>0</v>
      </c>
      <c r="J10" s="8" t="s">
        <v>3</v>
      </c>
      <c r="K10" s="16"/>
    </row>
    <row r="11" spans="1:11" x14ac:dyDescent="0.25">
      <c r="A11" s="16"/>
      <c r="B11" s="116" t="s">
        <v>63</v>
      </c>
      <c r="C11" s="117"/>
      <c r="D11" s="118"/>
      <c r="E11" s="7">
        <v>280565.76069999998</v>
      </c>
      <c r="F11" s="8" t="s">
        <v>3</v>
      </c>
      <c r="G11" s="7">
        <v>0</v>
      </c>
      <c r="H11" s="8" t="s">
        <v>3</v>
      </c>
      <c r="I11" s="7">
        <f t="shared" si="0"/>
        <v>280565.76069999998</v>
      </c>
      <c r="J11" s="8" t="s">
        <v>3</v>
      </c>
      <c r="K11" s="16"/>
    </row>
    <row r="12" spans="1:11" x14ac:dyDescent="0.25">
      <c r="A12" s="16"/>
      <c r="B12" s="116" t="s">
        <v>40</v>
      </c>
      <c r="C12" s="117"/>
      <c r="D12" s="118"/>
      <c r="E12" s="7">
        <v>0</v>
      </c>
      <c r="F12" s="8" t="s">
        <v>3</v>
      </c>
      <c r="G12" s="7">
        <v>0</v>
      </c>
      <c r="H12" s="8" t="s">
        <v>3</v>
      </c>
      <c r="I12" s="7">
        <f t="shared" si="0"/>
        <v>0</v>
      </c>
      <c r="J12" s="8" t="s">
        <v>3</v>
      </c>
      <c r="K12" s="16"/>
    </row>
    <row r="13" spans="1:11" x14ac:dyDescent="0.25">
      <c r="A13" s="16"/>
      <c r="B13" s="113" t="s">
        <v>39</v>
      </c>
      <c r="C13" s="114"/>
      <c r="D13" s="115"/>
      <c r="E13" s="7">
        <v>0</v>
      </c>
      <c r="F13" s="8" t="s">
        <v>3</v>
      </c>
      <c r="G13" s="7">
        <v>0</v>
      </c>
      <c r="H13" s="8" t="s">
        <v>3</v>
      </c>
      <c r="I13" s="7">
        <f t="shared" si="0"/>
        <v>0</v>
      </c>
      <c r="J13" s="8" t="s">
        <v>3</v>
      </c>
      <c r="K13" s="16"/>
    </row>
    <row r="14" spans="1:11" x14ac:dyDescent="0.25">
      <c r="A14" s="16"/>
      <c r="B14" s="113" t="s">
        <v>42</v>
      </c>
      <c r="C14" s="114"/>
      <c r="D14" s="115"/>
      <c r="E14" s="7">
        <v>0</v>
      </c>
      <c r="F14" s="8" t="s">
        <v>3</v>
      </c>
      <c r="G14" s="7">
        <v>0</v>
      </c>
      <c r="H14" s="8" t="s">
        <v>3</v>
      </c>
      <c r="I14" s="7">
        <f t="shared" si="0"/>
        <v>0</v>
      </c>
      <c r="J14" s="8" t="s">
        <v>3</v>
      </c>
      <c r="K14" s="16"/>
    </row>
    <row r="15" spans="1:11" x14ac:dyDescent="0.25">
      <c r="A15" s="16"/>
      <c r="B15" s="113" t="s">
        <v>41</v>
      </c>
      <c r="C15" s="114"/>
      <c r="D15" s="115"/>
      <c r="E15" s="7">
        <v>0</v>
      </c>
      <c r="F15" s="8" t="s">
        <v>3</v>
      </c>
      <c r="G15" s="7">
        <v>0</v>
      </c>
      <c r="H15" s="8" t="s">
        <v>3</v>
      </c>
      <c r="I15" s="7">
        <f t="shared" si="0"/>
        <v>0</v>
      </c>
      <c r="J15" s="8" t="s">
        <v>3</v>
      </c>
      <c r="K15" s="16"/>
    </row>
    <row r="16" spans="1:11" x14ac:dyDescent="0.25">
      <c r="A16" s="16"/>
      <c r="B16" s="113" t="s">
        <v>26</v>
      </c>
      <c r="C16" s="114"/>
      <c r="D16" s="115"/>
      <c r="E16" s="7">
        <f>E9*'Fane 15. Nøgletal'!C10+SUM(E10:E15)*'Fane 15. Nøgletal'!C11</f>
        <v>1171802.8157660414</v>
      </c>
      <c r="F16" s="8" t="s">
        <v>3</v>
      </c>
      <c r="G16" s="7">
        <f>G9*'Fane 15. Nøgletal'!C10+SUM(G10:G15)*'Fane 15. Nøgletal'!C11</f>
        <v>406675.74329013884</v>
      </c>
      <c r="H16" s="8" t="s">
        <v>3</v>
      </c>
      <c r="I16" s="7">
        <f t="shared" si="0"/>
        <v>1578478.5590561803</v>
      </c>
      <c r="J16" s="8" t="s">
        <v>3</v>
      </c>
      <c r="K16" s="16"/>
    </row>
    <row r="17" spans="1:11" x14ac:dyDescent="0.25">
      <c r="A17" s="16"/>
      <c r="B17" s="113" t="s">
        <v>10</v>
      </c>
      <c r="C17" s="114"/>
      <c r="D17" s="115"/>
      <c r="E17" s="7">
        <f>-SUM(E9:E16)*'Fane 5. Individuelt eff. krav'!G10</f>
        <v>0</v>
      </c>
      <c r="F17" s="8" t="s">
        <v>3</v>
      </c>
      <c r="G17" s="7">
        <f>-SUM(G9:G16)*'Fane 5. Individuelt eff. krav'!G16</f>
        <v>0</v>
      </c>
      <c r="H17" s="8" t="s">
        <v>3</v>
      </c>
      <c r="I17" s="7">
        <f t="shared" si="0"/>
        <v>0</v>
      </c>
      <c r="J17" s="8" t="s">
        <v>3</v>
      </c>
      <c r="K17" s="16"/>
    </row>
    <row r="18" spans="1:11" x14ac:dyDescent="0.25">
      <c r="A18" s="16"/>
      <c r="B18" s="113" t="s">
        <v>37</v>
      </c>
      <c r="C18" s="114"/>
      <c r="D18" s="115"/>
      <c r="E18" s="7">
        <f>-'Fane 4.1. Gen. krav - drift'!G22</f>
        <v>-267754.47666121542</v>
      </c>
      <c r="F18" s="8" t="s">
        <v>3</v>
      </c>
      <c r="G18" s="7">
        <f>-'Fane 4.1. Gen. krav - drift'!I22</f>
        <v>-332389.73942654813</v>
      </c>
      <c r="H18" s="8" t="s">
        <v>3</v>
      </c>
      <c r="I18" s="7">
        <f>-'Fane 4.1. Gen. krav - drift'!K22</f>
        <v>-600144.21608776355</v>
      </c>
      <c r="J18" s="8" t="s">
        <v>3</v>
      </c>
      <c r="K18" s="16"/>
    </row>
    <row r="19" spans="1:11" x14ac:dyDescent="0.25">
      <c r="A19" s="16"/>
      <c r="B19" s="113" t="s">
        <v>38</v>
      </c>
      <c r="C19" s="114"/>
      <c r="D19" s="115"/>
      <c r="E19" s="7">
        <f>-'Fane 4.2. Gen. krav - anlæg'!G19</f>
        <v>-966575.54337752773</v>
      </c>
      <c r="F19" s="8" t="s">
        <v>3</v>
      </c>
      <c r="G19" s="7">
        <f>-'Fane 4.2. Gen. krav - anlæg'!I19</f>
        <v>-124356.70733433793</v>
      </c>
      <c r="H19" s="8" t="s">
        <v>3</v>
      </c>
      <c r="I19" s="7">
        <f>-'Fane 4.2. Gen. krav - anlæg'!K19</f>
        <v>-1090932.2507118655</v>
      </c>
      <c r="J19" s="8" t="s">
        <v>3</v>
      </c>
      <c r="K19" s="16"/>
    </row>
    <row r="20" spans="1:11" ht="14.1" customHeight="1" x14ac:dyDescent="0.25">
      <c r="A20" s="16"/>
      <c r="B20" s="121" t="s">
        <v>28</v>
      </c>
      <c r="C20" s="122"/>
      <c r="D20" s="123"/>
      <c r="E20" s="44">
        <f>SUM(E9:E19)</f>
        <v>66907253.09415365</v>
      </c>
      <c r="F20" s="11" t="s">
        <v>3</v>
      </c>
      <c r="G20" s="44">
        <f>SUM(G9:G19)</f>
        <v>23188543.198822893</v>
      </c>
      <c r="H20" s="11" t="s">
        <v>3</v>
      </c>
      <c r="I20" s="44">
        <f>SUM(I9:I19)</f>
        <v>90095796.292976558</v>
      </c>
      <c r="J20" s="11" t="s">
        <v>3</v>
      </c>
      <c r="K20" s="16"/>
    </row>
    <row r="21" spans="1:11" x14ac:dyDescent="0.25">
      <c r="A21" s="16"/>
      <c r="B21" s="107" t="s">
        <v>142</v>
      </c>
      <c r="C21" s="108"/>
      <c r="D21" s="108"/>
      <c r="E21" s="108"/>
      <c r="F21" s="108"/>
      <c r="G21" s="108"/>
      <c r="H21" s="108"/>
      <c r="I21" s="108"/>
      <c r="J21" s="109"/>
      <c r="K21" s="16"/>
    </row>
    <row r="22" spans="1:11" ht="24.95" customHeight="1" x14ac:dyDescent="0.25">
      <c r="A22" s="16"/>
      <c r="B22" s="113" t="s">
        <v>233</v>
      </c>
      <c r="C22" s="114"/>
      <c r="D22" s="115"/>
      <c r="E22" s="32">
        <v>0</v>
      </c>
      <c r="F22" s="8" t="s">
        <v>3</v>
      </c>
      <c r="G22" s="32">
        <v>0</v>
      </c>
      <c r="H22" s="8" t="s">
        <v>3</v>
      </c>
      <c r="I22" s="32">
        <f>+G22+E22</f>
        <v>0</v>
      </c>
      <c r="J22" s="8" t="s">
        <v>3</v>
      </c>
      <c r="K22" s="16"/>
    </row>
    <row r="23" spans="1:11" ht="28.5" customHeight="1" x14ac:dyDescent="0.25">
      <c r="A23" s="16"/>
      <c r="B23" s="113" t="s">
        <v>232</v>
      </c>
      <c r="C23" s="114"/>
      <c r="D23" s="115"/>
      <c r="E23" s="32">
        <f>-E22*('Fane 15. Nøgletal'!C25+'Fane 5. Individuelt eff. krav'!G10)</f>
        <v>0</v>
      </c>
      <c r="F23" s="8" t="s">
        <v>3</v>
      </c>
      <c r="G23" s="32">
        <f>-G22*('Fane 15. Nøgletal'!C25+'Fane 5. Individuelt eff. krav'!G16)</f>
        <v>0</v>
      </c>
      <c r="H23" s="8" t="s">
        <v>3</v>
      </c>
      <c r="I23" s="32">
        <f>+G23+E23</f>
        <v>0</v>
      </c>
      <c r="J23" s="8" t="s">
        <v>3</v>
      </c>
      <c r="K23" s="16"/>
    </row>
    <row r="24" spans="1:11" ht="27.95" customHeight="1" x14ac:dyDescent="0.25">
      <c r="A24" s="16"/>
      <c r="B24" s="110" t="s">
        <v>234</v>
      </c>
      <c r="C24" s="111"/>
      <c r="D24" s="112"/>
      <c r="E24" s="44">
        <f>SUM(E22:E23)</f>
        <v>0</v>
      </c>
      <c r="F24" s="11" t="s">
        <v>3</v>
      </c>
      <c r="G24" s="44">
        <f>SUM(G22:G23)</f>
        <v>0</v>
      </c>
      <c r="H24" s="11" t="s">
        <v>3</v>
      </c>
      <c r="I24" s="44">
        <f>SUM(I22:I23)</f>
        <v>0</v>
      </c>
      <c r="J24" s="11" t="s">
        <v>3</v>
      </c>
      <c r="K24" s="16"/>
    </row>
    <row r="25" spans="1:11" ht="15" customHeight="1" x14ac:dyDescent="0.25">
      <c r="A25" s="16"/>
      <c r="B25" s="119" t="s">
        <v>17</v>
      </c>
      <c r="C25" s="120"/>
      <c r="D25" s="120"/>
      <c r="E25" s="56"/>
      <c r="F25" s="56"/>
      <c r="G25" s="56"/>
      <c r="H25" s="56"/>
      <c r="I25" s="56"/>
      <c r="J25" s="45"/>
      <c r="K25" s="16"/>
    </row>
    <row r="26" spans="1:11" x14ac:dyDescent="0.25">
      <c r="A26" s="16"/>
      <c r="B26" s="110" t="s">
        <v>17</v>
      </c>
      <c r="C26" s="111"/>
      <c r="D26" s="112"/>
      <c r="E26" s="44">
        <v>22963107.736439556</v>
      </c>
      <c r="F26" s="11" t="s">
        <v>3</v>
      </c>
      <c r="G26" s="44">
        <v>2301139.3329912894</v>
      </c>
      <c r="H26" s="11" t="s">
        <v>3</v>
      </c>
      <c r="I26" s="44">
        <f>+E26+G26</f>
        <v>25264247.069430847</v>
      </c>
      <c r="J26" s="11" t="s">
        <v>3</v>
      </c>
      <c r="K26" s="16"/>
    </row>
    <row r="27" spans="1:11" x14ac:dyDescent="0.25">
      <c r="A27" s="16"/>
      <c r="B27" s="119" t="s">
        <v>78</v>
      </c>
      <c r="C27" s="120"/>
      <c r="D27" s="120"/>
      <c r="E27" s="56"/>
      <c r="F27" s="45"/>
      <c r="G27" s="56"/>
      <c r="H27" s="45"/>
      <c r="I27" s="56"/>
      <c r="J27" s="45"/>
      <c r="K27" s="16"/>
    </row>
    <row r="28" spans="1:11" ht="29.1" customHeight="1" x14ac:dyDescent="0.25">
      <c r="A28" s="16"/>
      <c r="B28" s="110" t="s">
        <v>132</v>
      </c>
      <c r="C28" s="111"/>
      <c r="D28" s="112"/>
      <c r="E28" s="44">
        <v>106630.65362781567</v>
      </c>
      <c r="F28" s="11" t="s">
        <v>3</v>
      </c>
      <c r="G28" s="44">
        <v>11799.150666989457</v>
      </c>
      <c r="H28" s="11" t="s">
        <v>3</v>
      </c>
      <c r="I28" s="44">
        <f>+E28+G28</f>
        <v>118429.80429480513</v>
      </c>
      <c r="J28" s="11" t="s">
        <v>3</v>
      </c>
      <c r="K28" s="16"/>
    </row>
    <row r="29" spans="1:11" x14ac:dyDescent="0.25">
      <c r="A29" s="16"/>
      <c r="B29" s="119" t="s">
        <v>11</v>
      </c>
      <c r="C29" s="120"/>
      <c r="D29" s="120"/>
      <c r="E29" s="56"/>
      <c r="F29" s="45"/>
      <c r="G29" s="56"/>
      <c r="H29" s="45"/>
      <c r="I29" s="56"/>
      <c r="J29" s="45"/>
      <c r="K29" s="16"/>
    </row>
    <row r="30" spans="1:11" ht="25.5" customHeight="1" x14ac:dyDescent="0.25">
      <c r="A30" s="16"/>
      <c r="B30" s="110" t="s">
        <v>18</v>
      </c>
      <c r="C30" s="111"/>
      <c r="D30" s="112"/>
      <c r="E30" s="44">
        <v>0</v>
      </c>
      <c r="F30" s="11" t="s">
        <v>3</v>
      </c>
      <c r="G30" s="44">
        <v>0</v>
      </c>
      <c r="H30" s="11" t="s">
        <v>3</v>
      </c>
      <c r="I30" s="44">
        <f>+E30+G30</f>
        <v>0</v>
      </c>
      <c r="J30" s="11" t="s">
        <v>3</v>
      </c>
      <c r="K30" s="16"/>
    </row>
    <row r="31" spans="1:11" ht="18" customHeight="1" x14ac:dyDescent="0.25">
      <c r="A31" s="16"/>
      <c r="B31" s="107" t="s">
        <v>23</v>
      </c>
      <c r="C31" s="108"/>
      <c r="D31" s="109"/>
      <c r="E31" s="46">
        <f>SUM(E30,E28,E26,E20,E24)</f>
        <v>89976991.484221026</v>
      </c>
      <c r="F31" s="47" t="s">
        <v>3</v>
      </c>
      <c r="G31" s="46">
        <f>SUM(G30,G28,G26,G20,G24)</f>
        <v>25501481.682481173</v>
      </c>
      <c r="H31" s="47" t="s">
        <v>3</v>
      </c>
      <c r="I31" s="46">
        <f>SUM(I30,I28,I26,I20,I24)</f>
        <v>115478473.16670221</v>
      </c>
      <c r="J31" s="47" t="s">
        <v>3</v>
      </c>
      <c r="K31" s="16"/>
    </row>
    <row r="32" spans="1:11" ht="27" customHeight="1" x14ac:dyDescent="0.25">
      <c r="A32" s="16"/>
      <c r="B32" s="113" t="s">
        <v>205</v>
      </c>
      <c r="C32" s="114"/>
      <c r="D32" s="114"/>
      <c r="E32" s="114"/>
      <c r="F32" s="114"/>
      <c r="G32" s="114"/>
      <c r="H32" s="114"/>
      <c r="I32" s="114"/>
      <c r="J32" s="115"/>
      <c r="K32" s="16"/>
    </row>
    <row r="33" spans="1:1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</sheetData>
  <sheetProtection algorithmName="SHA-512" hashValue="3MwlOojz7qJMg5xjNr7iQcV03qNIvnJcXhDP4KV7VkG5qlxVqd6IS6qqxhNldvRyOaMGRbH0XsHbqmDR5y7vfA==" saltValue="TMvYDuubpPjeJ4Io9Tbk6g==" spinCount="100000" sheet="1" objects="1" scenarios="1"/>
  <mergeCells count="26">
    <mergeCell ref="B8:D8"/>
    <mergeCell ref="B28:D28"/>
    <mergeCell ref="B20:D20"/>
    <mergeCell ref="B25:D25"/>
    <mergeCell ref="B27:D27"/>
    <mergeCell ref="B29:D29"/>
    <mergeCell ref="B22:D22"/>
    <mergeCell ref="B23:D23"/>
    <mergeCell ref="B21:J21"/>
    <mergeCell ref="B24:D24"/>
    <mergeCell ref="B31:D31"/>
    <mergeCell ref="B30:D30"/>
    <mergeCell ref="B32:J32"/>
    <mergeCell ref="B3:J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</mergeCells>
  <pageMargins left="0.41666666666666669" right="0.27777777777777779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M50"/>
  <sheetViews>
    <sheetView showGridLines="0" view="pageLayout" zoomScaleNormal="100" workbookViewId="0">
      <selection activeCell="B43" sqref="B43:F43"/>
    </sheetView>
  </sheetViews>
  <sheetFormatPr defaultColWidth="9.140625" defaultRowHeight="28.35" customHeight="1" x14ac:dyDescent="0.25"/>
  <cols>
    <col min="1" max="1" width="1.5703125" style="48" customWidth="1"/>
    <col min="2" max="5" width="9.140625" style="48"/>
    <col min="6" max="6" width="7.42578125" style="48" customWidth="1"/>
    <col min="7" max="7" width="18.7109375" style="48" customWidth="1"/>
    <col min="8" max="8" width="2.7109375" style="48" bestFit="1" customWidth="1"/>
    <col min="9" max="9" width="15.140625" style="48" customWidth="1"/>
    <col min="10" max="10" width="2.7109375" style="48" bestFit="1" customWidth="1"/>
    <col min="11" max="11" width="10.28515625" style="48" customWidth="1"/>
    <col min="12" max="12" width="2.7109375" style="48" bestFit="1" customWidth="1"/>
    <col min="13" max="13" width="1.5703125" style="48" customWidth="1"/>
    <col min="14" max="16384" width="9.140625" style="48"/>
  </cols>
  <sheetData>
    <row r="1" spans="1:13" ht="28.3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8.35" customHeight="1" x14ac:dyDescent="0.25">
      <c r="A2" s="16"/>
      <c r="B2" s="104" t="s">
        <v>215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6"/>
    </row>
    <row r="3" spans="1:13" ht="15" x14ac:dyDescent="0.25">
      <c r="A3" s="16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6"/>
    </row>
    <row r="4" spans="1:13" ht="15" x14ac:dyDescent="0.25">
      <c r="A4" s="16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6"/>
    </row>
    <row r="5" spans="1:13" ht="28.35" customHeight="1" x14ac:dyDescent="0.25">
      <c r="A5" s="16"/>
      <c r="B5" s="119" t="s">
        <v>92</v>
      </c>
      <c r="C5" s="120"/>
      <c r="D5" s="120"/>
      <c r="E5" s="120"/>
      <c r="F5" s="120"/>
      <c r="G5" s="56" t="s">
        <v>263</v>
      </c>
      <c r="H5" s="56"/>
      <c r="I5" s="56" t="s">
        <v>264</v>
      </c>
      <c r="J5" s="56"/>
      <c r="K5" s="56" t="s">
        <v>259</v>
      </c>
      <c r="L5" s="45"/>
      <c r="M5" s="16"/>
    </row>
    <row r="6" spans="1:13" ht="28.35" customHeight="1" x14ac:dyDescent="0.25">
      <c r="A6" s="16"/>
      <c r="B6" s="113" t="s">
        <v>81</v>
      </c>
      <c r="C6" s="114"/>
      <c r="D6" s="114"/>
      <c r="E6" s="114"/>
      <c r="F6" s="115"/>
      <c r="G6" s="61">
        <v>13464361.328357518</v>
      </c>
      <c r="H6" s="8" t="s">
        <v>3</v>
      </c>
      <c r="I6" s="61">
        <v>16714624.566820236</v>
      </c>
      <c r="J6" s="8" t="s">
        <v>3</v>
      </c>
      <c r="K6" s="61">
        <f>+G6+I6</f>
        <v>30178985.895177752</v>
      </c>
      <c r="L6" s="8" t="s">
        <v>3</v>
      </c>
      <c r="M6" s="16"/>
    </row>
    <row r="7" spans="1:13" ht="28.35" customHeight="1" x14ac:dyDescent="0.25">
      <c r="A7" s="16"/>
      <c r="B7" s="113" t="s">
        <v>236</v>
      </c>
      <c r="C7" s="114"/>
      <c r="D7" s="114"/>
      <c r="E7" s="114"/>
      <c r="F7" s="115"/>
      <c r="G7" s="61">
        <v>0</v>
      </c>
      <c r="H7" s="8" t="s">
        <v>3</v>
      </c>
      <c r="I7" s="61">
        <v>0</v>
      </c>
      <c r="J7" s="8" t="s">
        <v>3</v>
      </c>
      <c r="K7" s="61">
        <f t="shared" ref="K7" si="0">+G7+I7</f>
        <v>0</v>
      </c>
      <c r="L7" s="8" t="s">
        <v>3</v>
      </c>
      <c r="M7" s="16"/>
    </row>
    <row r="8" spans="1:13" ht="15.95" customHeight="1" x14ac:dyDescent="0.25">
      <c r="A8" s="16"/>
      <c r="B8" s="113" t="s">
        <v>82</v>
      </c>
      <c r="C8" s="114"/>
      <c r="D8" s="114"/>
      <c r="E8" s="114"/>
      <c r="F8" s="115"/>
      <c r="G8" s="61">
        <f>SUM(G6:G7)*'Fane 15. Nøgletal'!C25</f>
        <v>269287.22656715038</v>
      </c>
      <c r="H8" s="8" t="s">
        <v>3</v>
      </c>
      <c r="I8" s="61">
        <f>SUM(I6:I7)*'Fane 15. Nøgletal'!C25</f>
        <v>334292.49133640475</v>
      </c>
      <c r="J8" s="8" t="s">
        <v>3</v>
      </c>
      <c r="K8" s="61">
        <f>SUM(K6:K7)*'Fane 15. Nøgletal'!C25</f>
        <v>603579.71790355502</v>
      </c>
      <c r="L8" s="8" t="s">
        <v>3</v>
      </c>
      <c r="M8" s="16"/>
    </row>
    <row r="9" spans="1:13" ht="14.1" customHeight="1" x14ac:dyDescent="0.25">
      <c r="A9" s="16"/>
      <c r="B9" s="55"/>
      <c r="C9" s="56"/>
      <c r="D9" s="56"/>
      <c r="E9" s="56"/>
      <c r="F9" s="56"/>
      <c r="G9" s="56"/>
      <c r="H9" s="56"/>
      <c r="I9" s="56"/>
      <c r="J9" s="56"/>
      <c r="K9" s="56"/>
      <c r="L9" s="45"/>
      <c r="M9" s="16"/>
    </row>
    <row r="10" spans="1:13" ht="1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28.35" customHeight="1" x14ac:dyDescent="0.25">
      <c r="A11" s="16"/>
      <c r="B11" s="119" t="s">
        <v>93</v>
      </c>
      <c r="C11" s="120"/>
      <c r="D11" s="120"/>
      <c r="E11" s="120"/>
      <c r="F11" s="120"/>
      <c r="G11" s="56" t="s">
        <v>263</v>
      </c>
      <c r="H11" s="56"/>
      <c r="I11" s="56" t="s">
        <v>264</v>
      </c>
      <c r="J11" s="56"/>
      <c r="K11" s="56" t="s">
        <v>259</v>
      </c>
      <c r="L11" s="45"/>
      <c r="M11" s="16"/>
    </row>
    <row r="12" spans="1:13" ht="28.35" customHeight="1" x14ac:dyDescent="0.25">
      <c r="A12" s="16"/>
      <c r="B12" s="113" t="s">
        <v>83</v>
      </c>
      <c r="C12" s="114"/>
      <c r="D12" s="114"/>
      <c r="E12" s="114"/>
      <c r="F12" s="115"/>
      <c r="G12" s="61">
        <f>(G6-G8)*(1+'Fane 15. Nøgletal'!C10)</f>
        <v>13425987.8985717</v>
      </c>
      <c r="H12" s="8" t="s">
        <v>3</v>
      </c>
      <c r="I12" s="61">
        <f>(I6-I8)*(1+'Fane 15. Nøgletal'!C10)</f>
        <v>16666987.886804799</v>
      </c>
      <c r="J12" s="8" t="s">
        <v>3</v>
      </c>
      <c r="K12" s="61">
        <f>(K6-K8)*(1+'Fane 15. Nøgletal'!C10)</f>
        <v>30092975.785376497</v>
      </c>
      <c r="L12" s="8" t="s">
        <v>3</v>
      </c>
      <c r="M12" s="16"/>
    </row>
    <row r="13" spans="1:13" ht="12.6" customHeight="1" x14ac:dyDescent="0.25">
      <c r="A13" s="16"/>
      <c r="B13" s="113" t="s">
        <v>238</v>
      </c>
      <c r="C13" s="114"/>
      <c r="D13" s="114"/>
      <c r="E13" s="114"/>
      <c r="F13" s="115"/>
      <c r="G13" s="61">
        <v>0</v>
      </c>
      <c r="H13" s="8" t="s">
        <v>3</v>
      </c>
      <c r="I13" s="61">
        <v>0</v>
      </c>
      <c r="J13" s="8" t="s">
        <v>3</v>
      </c>
      <c r="K13" s="61">
        <f t="shared" ref="K13:K15" si="1">+G13+I13</f>
        <v>0</v>
      </c>
      <c r="L13" s="8" t="s">
        <v>3</v>
      </c>
      <c r="M13" s="16"/>
    </row>
    <row r="14" spans="1:13" ht="28.35" customHeight="1" x14ac:dyDescent="0.25">
      <c r="A14" s="16"/>
      <c r="B14" s="113" t="s">
        <v>231</v>
      </c>
      <c r="C14" s="114"/>
      <c r="D14" s="114"/>
      <c r="E14" s="114"/>
      <c r="F14" s="115"/>
      <c r="G14" s="61">
        <v>0</v>
      </c>
      <c r="H14" s="8" t="s">
        <v>3</v>
      </c>
      <c r="I14" s="61">
        <v>0</v>
      </c>
      <c r="J14" s="8" t="s">
        <v>3</v>
      </c>
      <c r="K14" s="61">
        <f t="shared" si="1"/>
        <v>0</v>
      </c>
      <c r="L14" s="8" t="s">
        <v>3</v>
      </c>
      <c r="M14" s="16"/>
    </row>
    <row r="15" spans="1:13" ht="26.25" x14ac:dyDescent="0.25">
      <c r="A15" s="16"/>
      <c r="B15" s="124" t="s">
        <v>84</v>
      </c>
      <c r="C15" s="125"/>
      <c r="D15" s="125"/>
      <c r="E15" s="125"/>
      <c r="F15" s="126"/>
      <c r="G15" s="61">
        <v>0</v>
      </c>
      <c r="H15" s="8" t="s">
        <v>3</v>
      </c>
      <c r="I15" s="61">
        <v>0</v>
      </c>
      <c r="J15" s="8" t="s">
        <v>3</v>
      </c>
      <c r="K15" s="61">
        <f t="shared" si="1"/>
        <v>0</v>
      </c>
      <c r="L15" s="8" t="s">
        <v>3</v>
      </c>
      <c r="M15" s="16"/>
    </row>
    <row r="16" spans="1:13" ht="26.25" x14ac:dyDescent="0.25">
      <c r="A16" s="16"/>
      <c r="B16" s="113" t="s">
        <v>85</v>
      </c>
      <c r="C16" s="114"/>
      <c r="D16" s="114"/>
      <c r="E16" s="114"/>
      <c r="F16" s="115"/>
      <c r="G16" s="61">
        <f>SUM(G12:G15)*'Fane 15. Nøgletal'!C25</f>
        <v>268519.75797143398</v>
      </c>
      <c r="H16" s="8" t="s">
        <v>3</v>
      </c>
      <c r="I16" s="61">
        <f>SUM(I12:I15)*'Fane 15. Nøgletal'!C25</f>
        <v>333339.75773609598</v>
      </c>
      <c r="J16" s="8" t="s">
        <v>3</v>
      </c>
      <c r="K16" s="61">
        <f>SUM(K12:K15)*'Fane 15. Nøgletal'!C25</f>
        <v>601859.51570752996</v>
      </c>
      <c r="L16" s="8" t="s">
        <v>3</v>
      </c>
      <c r="M16" s="16"/>
    </row>
    <row r="17" spans="1:13" ht="12.6" customHeight="1" x14ac:dyDescent="0.25">
      <c r="A17" s="16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45"/>
      <c r="M17" s="16"/>
    </row>
    <row r="18" spans="1:13" ht="1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28.35" customHeight="1" x14ac:dyDescent="0.25">
      <c r="A19" s="16"/>
      <c r="B19" s="107" t="s">
        <v>94</v>
      </c>
      <c r="C19" s="108"/>
      <c r="D19" s="108"/>
      <c r="E19" s="108"/>
      <c r="F19" s="108"/>
      <c r="G19" s="56" t="s">
        <v>263</v>
      </c>
      <c r="H19" s="56"/>
      <c r="I19" s="56" t="s">
        <v>264</v>
      </c>
      <c r="J19" s="56"/>
      <c r="K19" s="56" t="s">
        <v>259</v>
      </c>
      <c r="L19" s="45"/>
      <c r="M19" s="16"/>
    </row>
    <row r="20" spans="1:13" ht="28.35" customHeight="1" x14ac:dyDescent="0.25">
      <c r="A20" s="16"/>
      <c r="B20" s="113" t="s">
        <v>86</v>
      </c>
      <c r="C20" s="114"/>
      <c r="D20" s="114"/>
      <c r="E20" s="114"/>
      <c r="F20" s="115"/>
      <c r="G20" s="61">
        <f>(SUM(G12:G13,G15)-(G16))*(1+'Fane 15. Nøgletal'!C10)</f>
        <v>13387723.833060771</v>
      </c>
      <c r="H20" s="8" t="s">
        <v>3</v>
      </c>
      <c r="I20" s="61">
        <f>(SUM(I12:I13,I15)-(I16))*(1+'Fane 15. Nøgletal'!C10)</f>
        <v>16619486.971327405</v>
      </c>
      <c r="J20" s="8" t="s">
        <v>3</v>
      </c>
      <c r="K20" s="61">
        <f>(SUM(K12:K13,K15)-(K16))*(1+'Fane 15. Nøgletal'!C10)</f>
        <v>30007210.804388177</v>
      </c>
      <c r="L20" s="8" t="s">
        <v>3</v>
      </c>
      <c r="M20" s="16"/>
    </row>
    <row r="21" spans="1:13" ht="26.25" x14ac:dyDescent="0.25">
      <c r="A21" s="16"/>
      <c r="B21" s="124" t="s">
        <v>87</v>
      </c>
      <c r="C21" s="125"/>
      <c r="D21" s="125"/>
      <c r="E21" s="125"/>
      <c r="F21" s="126"/>
      <c r="G21" s="61">
        <v>0</v>
      </c>
      <c r="H21" s="8" t="s">
        <v>3</v>
      </c>
      <c r="I21" s="61">
        <v>0</v>
      </c>
      <c r="J21" s="8" t="s">
        <v>3</v>
      </c>
      <c r="K21" s="61">
        <f t="shared" ref="K21" si="2">+G21+I21</f>
        <v>0</v>
      </c>
      <c r="L21" s="8" t="s">
        <v>3</v>
      </c>
      <c r="M21" s="16"/>
    </row>
    <row r="22" spans="1:13" ht="26.25" x14ac:dyDescent="0.25">
      <c r="A22" s="16"/>
      <c r="B22" s="113" t="s">
        <v>88</v>
      </c>
      <c r="C22" s="114"/>
      <c r="D22" s="114"/>
      <c r="E22" s="114"/>
      <c r="F22" s="115"/>
      <c r="G22" s="61">
        <f>SUM(G20:G21)*'Fane 15. Nøgletal'!C25</f>
        <v>267754.47666121542</v>
      </c>
      <c r="H22" s="8" t="s">
        <v>3</v>
      </c>
      <c r="I22" s="61">
        <f>SUM(I20:I21)*'Fane 15. Nøgletal'!C25</f>
        <v>332389.73942654813</v>
      </c>
      <c r="J22" s="8" t="s">
        <v>3</v>
      </c>
      <c r="K22" s="61">
        <f>SUM(K20:K21)*'Fane 15. Nøgletal'!C25</f>
        <v>600144.21608776355</v>
      </c>
      <c r="L22" s="8" t="s">
        <v>3</v>
      </c>
      <c r="M22" s="16"/>
    </row>
    <row r="23" spans="1:13" ht="15" x14ac:dyDescent="0.25">
      <c r="A23" s="16"/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45"/>
      <c r="M23" s="16"/>
    </row>
    <row r="24" spans="1:13" ht="1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28.35" customHeight="1" x14ac:dyDescent="0.25">
      <c r="A25" s="16"/>
      <c r="B25" s="107" t="s">
        <v>95</v>
      </c>
      <c r="C25" s="108"/>
      <c r="D25" s="108"/>
      <c r="E25" s="108"/>
      <c r="F25" s="108"/>
      <c r="G25" s="56" t="s">
        <v>263</v>
      </c>
      <c r="H25" s="56"/>
      <c r="I25" s="56" t="s">
        <v>264</v>
      </c>
      <c r="J25" s="56"/>
      <c r="K25" s="56" t="s">
        <v>259</v>
      </c>
      <c r="L25" s="45"/>
      <c r="M25" s="16"/>
    </row>
    <row r="26" spans="1:13" ht="28.35" customHeight="1" x14ac:dyDescent="0.25">
      <c r="A26" s="16"/>
      <c r="B26" s="113" t="s">
        <v>89</v>
      </c>
      <c r="C26" s="114"/>
      <c r="D26" s="114"/>
      <c r="E26" s="114"/>
      <c r="F26" s="115"/>
      <c r="G26" s="61">
        <f>(G20+G21-G22)*(1+'Fane 15. Nøgletal'!C12)</f>
        <v>13378432.752720628</v>
      </c>
      <c r="H26" s="8" t="s">
        <v>3</v>
      </c>
      <c r="I26" s="61">
        <f>(I20+I21-I22)*(1+'Fane 15. Nøgletal'!C12)</f>
        <v>16607953.047369305</v>
      </c>
      <c r="J26" s="8" t="s">
        <v>3</v>
      </c>
      <c r="K26" s="61">
        <f>(K20+K21-K22)*(1+'Fane 15. Nøgletal'!C12)</f>
        <v>29986385.800089933</v>
      </c>
      <c r="L26" s="8" t="s">
        <v>3</v>
      </c>
      <c r="M26" s="16"/>
    </row>
    <row r="27" spans="1:13" ht="26.25" x14ac:dyDescent="0.25">
      <c r="A27" s="16"/>
      <c r="B27" s="124" t="s">
        <v>90</v>
      </c>
      <c r="C27" s="125"/>
      <c r="D27" s="125"/>
      <c r="E27" s="125"/>
      <c r="F27" s="126"/>
      <c r="G27" s="61">
        <f>('Fane 2.1. Økonomisk ramme 2020'!C10+'Fane 2.1. Økonomisk ramme 2020'!C12+'Fane 2.1. Økonomisk ramme 2020'!C14)*(1+'Fane 15. Nøgletal'!C12)</f>
        <v>0</v>
      </c>
      <c r="H27" s="8" t="s">
        <v>3</v>
      </c>
      <c r="I27" s="61">
        <f>('Fane 2.1. Økonomisk ramme 2020'!E10+'Fane 2.1. Økonomisk ramme 2020'!E12+'Fane 2.1. Økonomisk ramme 2020'!E14)*(1+'Fane 15. Nøgletal'!C12)</f>
        <v>0</v>
      </c>
      <c r="J27" s="8" t="s">
        <v>3</v>
      </c>
      <c r="K27" s="61">
        <f>('Fane 2.1. Økonomisk ramme 2020'!G10+'Fane 2.1. Økonomisk ramme 2020'!G12+'Fane 2.1. Økonomisk ramme 2020'!G14)*(1+'Fane 15. Nøgletal'!C12)</f>
        <v>0</v>
      </c>
      <c r="L27" s="8" t="s">
        <v>3</v>
      </c>
      <c r="M27" s="16"/>
    </row>
    <row r="28" spans="1:13" ht="26.25" x14ac:dyDescent="0.25">
      <c r="A28" s="16"/>
      <c r="B28" s="113" t="s">
        <v>91</v>
      </c>
      <c r="C28" s="114"/>
      <c r="D28" s="114"/>
      <c r="E28" s="114"/>
      <c r="F28" s="115"/>
      <c r="G28" s="61">
        <f>(G26+G27)*'Fane 15. Nøgletal'!C25</f>
        <v>267568.65505441255</v>
      </c>
      <c r="H28" s="8" t="s">
        <v>3</v>
      </c>
      <c r="I28" s="61">
        <f>(I26+I27)*'Fane 15. Nøgletal'!C25</f>
        <v>332159.06094738608</v>
      </c>
      <c r="J28" s="8" t="s">
        <v>3</v>
      </c>
      <c r="K28" s="61">
        <f>(K26+K27)*'Fane 15. Nøgletal'!C25</f>
        <v>599727.71600179863</v>
      </c>
      <c r="L28" s="8" t="s">
        <v>3</v>
      </c>
      <c r="M28" s="16"/>
    </row>
    <row r="29" spans="1:13" ht="15" x14ac:dyDescent="0.25">
      <c r="A29" s="16"/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45"/>
      <c r="M29" s="16"/>
    </row>
    <row r="30" spans="1:13" ht="1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28.35" customHeight="1" x14ac:dyDescent="0.25">
      <c r="A31" s="16"/>
      <c r="B31" s="107" t="s">
        <v>98</v>
      </c>
      <c r="C31" s="108"/>
      <c r="D31" s="108"/>
      <c r="E31" s="108"/>
      <c r="F31" s="108"/>
      <c r="G31" s="56" t="s">
        <v>263</v>
      </c>
      <c r="H31" s="56"/>
      <c r="I31" s="56" t="s">
        <v>264</v>
      </c>
      <c r="J31" s="56"/>
      <c r="K31" s="56" t="s">
        <v>259</v>
      </c>
      <c r="L31" s="45"/>
      <c r="M31" s="16"/>
    </row>
    <row r="32" spans="1:13" ht="28.35" customHeight="1" x14ac:dyDescent="0.25">
      <c r="A32" s="16"/>
      <c r="B32" s="113" t="s">
        <v>99</v>
      </c>
      <c r="C32" s="114"/>
      <c r="D32" s="114"/>
      <c r="E32" s="114"/>
      <c r="F32" s="115"/>
      <c r="G32" s="61">
        <f>(G26+G27-G28)*(1+'Fane 15. Nøgletal'!C12)</f>
        <v>13369148.12039024</v>
      </c>
      <c r="H32" s="8" t="s">
        <v>3</v>
      </c>
      <c r="I32" s="61">
        <f>(I26+I27-I28)*(1+'Fane 15. Nøgletal'!C12)</f>
        <v>16596427.127954431</v>
      </c>
      <c r="J32" s="8" t="s">
        <v>3</v>
      </c>
      <c r="K32" s="61">
        <f>(K26+K27-K28)*(1+'Fane 15. Nøgletal'!C12)</f>
        <v>29965575.248344675</v>
      </c>
      <c r="L32" s="8" t="s">
        <v>3</v>
      </c>
      <c r="M32" s="16"/>
    </row>
    <row r="33" spans="1:13" ht="28.35" customHeight="1" x14ac:dyDescent="0.25">
      <c r="A33" s="16"/>
      <c r="B33" s="113" t="s">
        <v>146</v>
      </c>
      <c r="C33" s="114"/>
      <c r="D33" s="114"/>
      <c r="E33" s="114"/>
      <c r="F33" s="115"/>
      <c r="G33" s="61">
        <f>-'Fane 13. Bortfald'!C18*(1+'Fane 15. Nøgletal'!C12)</f>
        <v>0</v>
      </c>
      <c r="H33" s="8" t="s">
        <v>3</v>
      </c>
      <c r="I33" s="61">
        <f>-'Fane 13. Bortfald'!K18*(1+'Fane 15. Nøgletal'!C12)</f>
        <v>0</v>
      </c>
      <c r="J33" s="8" t="s">
        <v>3</v>
      </c>
      <c r="K33" s="61">
        <f t="shared" ref="K33:K34" si="3">+G33+I33</f>
        <v>0</v>
      </c>
      <c r="L33" s="8" t="s">
        <v>3</v>
      </c>
      <c r="M33" s="16"/>
    </row>
    <row r="34" spans="1:13" ht="26.25" x14ac:dyDescent="0.25">
      <c r="A34" s="16"/>
      <c r="B34" s="113" t="s">
        <v>100</v>
      </c>
      <c r="C34" s="114"/>
      <c r="D34" s="114"/>
      <c r="E34" s="114"/>
      <c r="F34" s="115"/>
      <c r="G34" s="61">
        <f>(G32+G33)*'Fane 15. Nøgletal'!C25</f>
        <v>267382.96240780479</v>
      </c>
      <c r="H34" s="8" t="s">
        <v>3</v>
      </c>
      <c r="I34" s="61">
        <f>(I32+I33)*'Fane 15. Nøgletal'!C25</f>
        <v>331928.54255908862</v>
      </c>
      <c r="J34" s="8" t="s">
        <v>3</v>
      </c>
      <c r="K34" s="61">
        <f t="shared" si="3"/>
        <v>599311.50496689347</v>
      </c>
      <c r="L34" s="8" t="s">
        <v>3</v>
      </c>
      <c r="M34" s="16"/>
    </row>
    <row r="35" spans="1:13" ht="15" x14ac:dyDescent="0.25">
      <c r="A35" s="16"/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45"/>
      <c r="M35" s="16"/>
    </row>
    <row r="36" spans="1:13" ht="15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28.35" customHeight="1" x14ac:dyDescent="0.25">
      <c r="A37" s="16"/>
      <c r="B37" s="107" t="s">
        <v>125</v>
      </c>
      <c r="C37" s="108"/>
      <c r="D37" s="108"/>
      <c r="E37" s="108"/>
      <c r="F37" s="108"/>
      <c r="G37" s="56" t="s">
        <v>263</v>
      </c>
      <c r="H37" s="56"/>
      <c r="I37" s="56" t="s">
        <v>260</v>
      </c>
      <c r="J37" s="56"/>
      <c r="K37" s="56" t="s">
        <v>259</v>
      </c>
      <c r="L37" s="45"/>
      <c r="M37" s="16"/>
    </row>
    <row r="38" spans="1:13" ht="28.35" customHeight="1" x14ac:dyDescent="0.25">
      <c r="A38" s="16"/>
      <c r="B38" s="113" t="s">
        <v>124</v>
      </c>
      <c r="C38" s="114"/>
      <c r="D38" s="114"/>
      <c r="E38" s="114"/>
      <c r="F38" s="115"/>
      <c r="G38" s="61">
        <f>(G32-G34)*(1+'Fane 15. Nøgletal'!C12)</f>
        <v>13359869.93159469</v>
      </c>
      <c r="H38" s="8" t="s">
        <v>3</v>
      </c>
      <c r="I38" s="61">
        <f>(I32-I34)*(1+'Fane 15. Nøgletal'!C12)</f>
        <v>16584909.20752763</v>
      </c>
      <c r="J38" s="8" t="s">
        <v>3</v>
      </c>
      <c r="K38" s="61">
        <f>(K32-K34)*(1+'Fane 15. Nøgletal'!C12)</f>
        <v>29944779.139122326</v>
      </c>
      <c r="L38" s="8" t="s">
        <v>3</v>
      </c>
      <c r="M38" s="16"/>
    </row>
    <row r="39" spans="1:13" ht="28.35" customHeight="1" x14ac:dyDescent="0.25">
      <c r="A39" s="16"/>
      <c r="B39" s="113" t="s">
        <v>147</v>
      </c>
      <c r="C39" s="114"/>
      <c r="D39" s="114"/>
      <c r="E39" s="114"/>
      <c r="F39" s="115"/>
      <c r="G39" s="61">
        <f>-'Fane 13. Bortfald'!C24*(1+'Fane 15. Nøgletal'!C12)</f>
        <v>0</v>
      </c>
      <c r="H39" s="8" t="s">
        <v>3</v>
      </c>
      <c r="I39" s="61">
        <f>-'Fane 13. Bortfald'!K24*(1+'Fane 15. Nøgletal'!C12)</f>
        <v>0</v>
      </c>
      <c r="J39" s="8" t="s">
        <v>3</v>
      </c>
      <c r="K39" s="61">
        <f t="shared" ref="K39" si="4">+G39+I39</f>
        <v>0</v>
      </c>
      <c r="L39" s="8" t="s">
        <v>3</v>
      </c>
      <c r="M39" s="16"/>
    </row>
    <row r="40" spans="1:13" ht="28.35" customHeight="1" x14ac:dyDescent="0.25">
      <c r="A40" s="16"/>
      <c r="B40" s="113" t="s">
        <v>101</v>
      </c>
      <c r="C40" s="114"/>
      <c r="D40" s="114"/>
      <c r="E40" s="114"/>
      <c r="F40" s="115"/>
      <c r="G40" s="61">
        <f>(G38+G39)*'Fane 15. Nøgletal'!C25</f>
        <v>267197.3986318938</v>
      </c>
      <c r="H40" s="8" t="s">
        <v>3</v>
      </c>
      <c r="I40" s="61">
        <f>(I38+I39)*'Fane 15. Nøgletal'!C25</f>
        <v>331698.18415055261</v>
      </c>
      <c r="J40" s="8" t="s">
        <v>3</v>
      </c>
      <c r="K40" s="61">
        <f>(K38+K39)*'Fane 15. Nøgletal'!C25</f>
        <v>598895.58278244652</v>
      </c>
      <c r="L40" s="8" t="s">
        <v>3</v>
      </c>
      <c r="M40" s="16"/>
    </row>
    <row r="41" spans="1:13" ht="15" x14ac:dyDescent="0.25">
      <c r="A41" s="16"/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45"/>
      <c r="M41" s="16"/>
    </row>
    <row r="42" spans="1:13" ht="15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28.35" customHeight="1" x14ac:dyDescent="0.25">
      <c r="A43" s="16"/>
      <c r="B43" s="107" t="s">
        <v>126</v>
      </c>
      <c r="C43" s="108"/>
      <c r="D43" s="108"/>
      <c r="E43" s="108"/>
      <c r="F43" s="108"/>
      <c r="G43" s="56" t="s">
        <v>263</v>
      </c>
      <c r="H43" s="56"/>
      <c r="I43" s="56" t="s">
        <v>264</v>
      </c>
      <c r="J43" s="56"/>
      <c r="K43" s="56" t="s">
        <v>259</v>
      </c>
      <c r="L43" s="45"/>
      <c r="M43" s="16"/>
    </row>
    <row r="44" spans="1:13" ht="28.35" customHeight="1" x14ac:dyDescent="0.25">
      <c r="A44" s="16"/>
      <c r="B44" s="113" t="s">
        <v>123</v>
      </c>
      <c r="C44" s="114"/>
      <c r="D44" s="114"/>
      <c r="E44" s="114"/>
      <c r="F44" s="115"/>
      <c r="G44" s="61">
        <f>(G38-G40)*(1+'Fane 15. Nøgletal'!C12)</f>
        <v>13350598.181862164</v>
      </c>
      <c r="H44" s="8" t="s">
        <v>3</v>
      </c>
      <c r="I44" s="61">
        <f>(I38-I40)*(1+'Fane 15. Nøgletal'!C12)</f>
        <v>16573399.280537607</v>
      </c>
      <c r="J44" s="8" t="s">
        <v>3</v>
      </c>
      <c r="K44" s="61">
        <f>(K38-K40)*(1+'Fane 15. Nøgletal'!C12)</f>
        <v>29923997.462399777</v>
      </c>
      <c r="L44" s="8" t="s">
        <v>3</v>
      </c>
      <c r="M44" s="16"/>
    </row>
    <row r="45" spans="1:13" ht="28.35" customHeight="1" x14ac:dyDescent="0.25">
      <c r="A45" s="16"/>
      <c r="B45" s="113" t="s">
        <v>148</v>
      </c>
      <c r="C45" s="114"/>
      <c r="D45" s="114"/>
      <c r="E45" s="114"/>
      <c r="F45" s="115"/>
      <c r="G45" s="61">
        <f>-'Fane 13. Bortfald'!C30*(1+'Fane 15. Nøgletal'!C12)</f>
        <v>0</v>
      </c>
      <c r="H45" s="8" t="s">
        <v>3</v>
      </c>
      <c r="I45" s="61">
        <f>-'Fane 13. Bortfald'!K30*(1+'Fane 15. Nøgletal'!C12)</f>
        <v>0</v>
      </c>
      <c r="J45" s="8" t="s">
        <v>3</v>
      </c>
      <c r="K45" s="61">
        <f t="shared" ref="K45" si="5">+G45+I45</f>
        <v>0</v>
      </c>
      <c r="L45" s="8" t="s">
        <v>3</v>
      </c>
      <c r="M45" s="16"/>
    </row>
    <row r="46" spans="1:13" ht="28.35" customHeight="1" x14ac:dyDescent="0.25">
      <c r="A46" s="16"/>
      <c r="B46" s="113" t="s">
        <v>102</v>
      </c>
      <c r="C46" s="114"/>
      <c r="D46" s="114"/>
      <c r="E46" s="114"/>
      <c r="F46" s="115"/>
      <c r="G46" s="61">
        <f>(G44+G45)*'Fane 15. Nøgletal'!C25</f>
        <v>267011.96363724332</v>
      </c>
      <c r="H46" s="8" t="s">
        <v>3</v>
      </c>
      <c r="I46" s="61">
        <f>(I44+I45)*'Fane 15. Nøgletal'!C25</f>
        <v>331467.98561075213</v>
      </c>
      <c r="J46" s="8" t="s">
        <v>3</v>
      </c>
      <c r="K46" s="61">
        <f>(K44+K45)*'Fane 15. Nøgletal'!C25</f>
        <v>598479.94924799551</v>
      </c>
      <c r="L46" s="8" t="s">
        <v>3</v>
      </c>
      <c r="M46" s="16"/>
    </row>
    <row r="47" spans="1:13" ht="15" x14ac:dyDescent="0.25">
      <c r="A47" s="16"/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45"/>
      <c r="M47" s="16"/>
    </row>
    <row r="48" spans="1:13" ht="28.3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28.3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28.3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</sheetData>
  <sheetProtection algorithmName="SHA-512" hashValue="EALTJP+Yull7ICBbQq3bp6qJYvfqg9U0+wqUoKQDgsEviY0D01Y0SV3vy7PmuLeG+w0nSPfXZiKVsVkPnxr0BA==" saltValue="UYsB+xXZ1rsTJhBeGOl3bg==" spinCount="100000" sheet="1" objects="1" scenarios="1"/>
  <mergeCells count="31">
    <mergeCell ref="B13:F13"/>
    <mergeCell ref="B14:F14"/>
    <mergeCell ref="B32:F32"/>
    <mergeCell ref="B15:F15"/>
    <mergeCell ref="B16:F16"/>
    <mergeCell ref="B20:F20"/>
    <mergeCell ref="B21:F21"/>
    <mergeCell ref="B22:F22"/>
    <mergeCell ref="B26:F26"/>
    <mergeCell ref="B27:F27"/>
    <mergeCell ref="B28:F28"/>
    <mergeCell ref="B19:F19"/>
    <mergeCell ref="B38:F38"/>
    <mergeCell ref="B33:F33"/>
    <mergeCell ref="B34:F34"/>
    <mergeCell ref="B25:F25"/>
    <mergeCell ref="B31:F31"/>
    <mergeCell ref="B37:F37"/>
    <mergeCell ref="B44:F44"/>
    <mergeCell ref="B46:F46"/>
    <mergeCell ref="B39:F39"/>
    <mergeCell ref="B45:F45"/>
    <mergeCell ref="B40:F40"/>
    <mergeCell ref="B43:F43"/>
    <mergeCell ref="B2:L4"/>
    <mergeCell ref="B6:F6"/>
    <mergeCell ref="B8:F8"/>
    <mergeCell ref="B12:F12"/>
    <mergeCell ref="B7:F7"/>
    <mergeCell ref="B5:F5"/>
    <mergeCell ref="B11:F11"/>
  </mergeCells>
  <pageMargins left="0.2361111111111111" right="6.9444444444444441E-3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M49"/>
  <sheetViews>
    <sheetView showGridLines="0" view="pageLayout" zoomScaleNormal="100" workbookViewId="0">
      <selection activeCell="I38" sqref="I38"/>
    </sheetView>
  </sheetViews>
  <sheetFormatPr defaultColWidth="9.140625" defaultRowHeight="15" x14ac:dyDescent="0.25"/>
  <cols>
    <col min="1" max="1" width="2.28515625" style="48" customWidth="1"/>
    <col min="2" max="5" width="9.140625" style="48"/>
    <col min="6" max="6" width="5.140625" style="48" customWidth="1"/>
    <col min="7" max="7" width="17.28515625" style="48" customWidth="1"/>
    <col min="8" max="8" width="2.7109375" style="48" bestFit="1" customWidth="1"/>
    <col min="9" max="9" width="12.5703125" style="48" customWidth="1"/>
    <col min="10" max="10" width="2.7109375" style="48" bestFit="1" customWidth="1"/>
    <col min="11" max="11" width="10.28515625" style="48" customWidth="1"/>
    <col min="12" max="12" width="2.7109375" style="48" bestFit="1" customWidth="1"/>
    <col min="13" max="13" width="1.7109375" style="48" customWidth="1"/>
    <col min="14" max="16384" width="9.140625" style="48"/>
  </cols>
  <sheetData>
    <row r="1" spans="1:13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8.75" x14ac:dyDescent="0.3">
      <c r="A2" s="16"/>
      <c r="B2" s="127" t="s">
        <v>216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6"/>
    </row>
    <row r="3" spans="1:13" ht="18.75" x14ac:dyDescent="0.3">
      <c r="A3" s="16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6"/>
    </row>
    <row r="4" spans="1:13" ht="28.35" customHeight="1" x14ac:dyDescent="0.25">
      <c r="A4" s="16"/>
      <c r="B4" s="119" t="s">
        <v>96</v>
      </c>
      <c r="C4" s="120"/>
      <c r="D4" s="120"/>
      <c r="E4" s="120"/>
      <c r="F4" s="120"/>
      <c r="G4" s="56" t="s">
        <v>263</v>
      </c>
      <c r="H4" s="56"/>
      <c r="I4" s="56" t="s">
        <v>264</v>
      </c>
      <c r="J4" s="56"/>
      <c r="K4" s="56" t="s">
        <v>259</v>
      </c>
      <c r="L4" s="45"/>
      <c r="M4" s="16"/>
    </row>
    <row r="5" spans="1:13" ht="28.35" customHeight="1" x14ac:dyDescent="0.25">
      <c r="A5" s="16"/>
      <c r="B5" s="113" t="s">
        <v>103</v>
      </c>
      <c r="C5" s="114"/>
      <c r="D5" s="114"/>
      <c r="E5" s="114"/>
      <c r="F5" s="115"/>
      <c r="G5" s="61">
        <v>54240470.538275912</v>
      </c>
      <c r="H5" s="8" t="s">
        <v>3</v>
      </c>
      <c r="I5" s="61">
        <v>6915205.4790256694</v>
      </c>
      <c r="J5" s="8" t="s">
        <v>3</v>
      </c>
      <c r="K5" s="61">
        <f>+G5+I5</f>
        <v>61155676.017301582</v>
      </c>
      <c r="L5" s="8" t="s">
        <v>3</v>
      </c>
      <c r="M5" s="16"/>
    </row>
    <row r="6" spans="1:13" ht="28.35" customHeight="1" x14ac:dyDescent="0.25">
      <c r="A6" s="16"/>
      <c r="B6" s="113" t="s">
        <v>97</v>
      </c>
      <c r="C6" s="114"/>
      <c r="D6" s="114"/>
      <c r="E6" s="114"/>
      <c r="F6" s="115"/>
      <c r="G6" s="61">
        <f>G5*'Fane 15. Nøgletal'!C17</f>
        <v>493588.28189831082</v>
      </c>
      <c r="H6" s="8" t="s">
        <v>3</v>
      </c>
      <c r="I6" s="61">
        <f>+I5*'Fane 15. Nøgletal'!C17</f>
        <v>62928.369859133592</v>
      </c>
      <c r="J6" s="8" t="s">
        <v>3</v>
      </c>
      <c r="K6" s="61">
        <f>+K5*'Fane 15. Nøgletal'!C17</f>
        <v>556516.65175744437</v>
      </c>
      <c r="L6" s="8" t="s">
        <v>3</v>
      </c>
      <c r="M6" s="16"/>
    </row>
    <row r="7" spans="1:13" x14ac:dyDescent="0.25">
      <c r="A7" s="16"/>
      <c r="B7" s="55"/>
      <c r="C7" s="56"/>
      <c r="D7" s="56"/>
      <c r="E7" s="56"/>
      <c r="F7" s="56"/>
      <c r="G7" s="56"/>
      <c r="H7" s="56"/>
      <c r="I7" s="56"/>
      <c r="J7" s="56"/>
      <c r="K7" s="56"/>
      <c r="L7" s="45"/>
      <c r="M7" s="16"/>
    </row>
    <row r="8" spans="1:13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28.35" customHeight="1" x14ac:dyDescent="0.25">
      <c r="A9" s="16"/>
      <c r="B9" s="107" t="s">
        <v>104</v>
      </c>
      <c r="C9" s="108"/>
      <c r="D9" s="108"/>
      <c r="E9" s="108"/>
      <c r="F9" s="108"/>
      <c r="G9" s="56" t="s">
        <v>263</v>
      </c>
      <c r="H9" s="56"/>
      <c r="I9" s="56" t="s">
        <v>264</v>
      </c>
      <c r="J9" s="56"/>
      <c r="K9" s="56" t="s">
        <v>259</v>
      </c>
      <c r="L9" s="45"/>
      <c r="M9" s="16"/>
    </row>
    <row r="10" spans="1:13" ht="28.35" customHeight="1" x14ac:dyDescent="0.25">
      <c r="A10" s="16"/>
      <c r="B10" s="113" t="s">
        <v>105</v>
      </c>
      <c r="C10" s="114"/>
      <c r="D10" s="114"/>
      <c r="E10" s="114"/>
      <c r="F10" s="115"/>
      <c r="G10" s="61">
        <f>(G5-G6)*(1+'Fane 15. Nøgletal'!C10)</f>
        <v>54687452.695864215</v>
      </c>
      <c r="H10" s="8" t="s">
        <v>3</v>
      </c>
      <c r="I10" s="61">
        <f>(I5-I6)*(1+'Fane 15. Nøgletal'!C10)</f>
        <v>6972191.9585769502</v>
      </c>
      <c r="J10" s="8" t="s">
        <v>3</v>
      </c>
      <c r="K10" s="61">
        <f>(K5-K6)*(1+'Fane 15. Nøgletal'!C10)</f>
        <v>61659644.65444117</v>
      </c>
      <c r="L10" s="8" t="s">
        <v>3</v>
      </c>
      <c r="M10" s="16"/>
    </row>
    <row r="11" spans="1:13" ht="26.25" x14ac:dyDescent="0.25">
      <c r="A11" s="16"/>
      <c r="B11" s="113" t="s">
        <v>239</v>
      </c>
      <c r="C11" s="114"/>
      <c r="D11" s="114"/>
      <c r="E11" s="114"/>
      <c r="F11" s="115"/>
      <c r="G11" s="61">
        <v>-191121.23182460564</v>
      </c>
      <c r="H11" s="8" t="s">
        <v>3</v>
      </c>
      <c r="I11" s="61">
        <v>57193.945143850367</v>
      </c>
      <c r="J11" s="8" t="s">
        <v>3</v>
      </c>
      <c r="K11" s="61">
        <f>+G11+I11</f>
        <v>-133927.28668075526</v>
      </c>
      <c r="L11" s="8" t="s">
        <v>3</v>
      </c>
      <c r="M11" s="16"/>
    </row>
    <row r="12" spans="1:13" ht="28.35" customHeight="1" x14ac:dyDescent="0.25">
      <c r="A12" s="16"/>
      <c r="B12" s="113" t="s">
        <v>106</v>
      </c>
      <c r="C12" s="114"/>
      <c r="D12" s="114"/>
      <c r="E12" s="114"/>
      <c r="F12" s="115"/>
      <c r="G12" s="61">
        <v>0</v>
      </c>
      <c r="H12" s="8" t="s">
        <v>3</v>
      </c>
      <c r="I12" s="61">
        <v>0</v>
      </c>
      <c r="J12" s="8" t="s">
        <v>3</v>
      </c>
      <c r="K12" s="61">
        <f t="shared" ref="K12" si="0">+G12+I12</f>
        <v>0</v>
      </c>
      <c r="L12" s="8" t="s">
        <v>3</v>
      </c>
      <c r="M12" s="16"/>
    </row>
    <row r="13" spans="1:13" ht="28.35" customHeight="1" x14ac:dyDescent="0.25">
      <c r="A13" s="16"/>
      <c r="B13" s="113" t="s">
        <v>107</v>
      </c>
      <c r="C13" s="114"/>
      <c r="D13" s="114"/>
      <c r="E13" s="114"/>
      <c r="F13" s="115"/>
      <c r="G13" s="61">
        <f>SUM(G10:G12)*'Fane 15. Nøgletal'!C18</f>
        <v>964585.06691350113</v>
      </c>
      <c r="H13" s="8" t="s">
        <v>3</v>
      </c>
      <c r="I13" s="61">
        <f>SUM(I10:I12)*'Fane 15. Nøgletal'!C18</f>
        <v>124420.13049585817</v>
      </c>
      <c r="J13" s="8" t="s">
        <v>3</v>
      </c>
      <c r="K13" s="61">
        <f>SUM(K10:K12)*'Fane 15. Nøgletal'!C18</f>
        <v>1089005.1974093593</v>
      </c>
      <c r="L13" s="8" t="s">
        <v>3</v>
      </c>
      <c r="M13" s="16"/>
    </row>
    <row r="14" spans="1:13" x14ac:dyDescent="0.25">
      <c r="A14" s="16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45"/>
      <c r="M14" s="16"/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28.35" customHeight="1" x14ac:dyDescent="0.25">
      <c r="A16" s="16"/>
      <c r="B16" s="107" t="s">
        <v>108</v>
      </c>
      <c r="C16" s="108"/>
      <c r="D16" s="108"/>
      <c r="E16" s="108"/>
      <c r="F16" s="108"/>
      <c r="G16" s="56" t="s">
        <v>263</v>
      </c>
      <c r="H16" s="56"/>
      <c r="I16" s="56" t="s">
        <v>264</v>
      </c>
      <c r="J16" s="56"/>
      <c r="K16" s="56" t="s">
        <v>259</v>
      </c>
      <c r="L16" s="45"/>
      <c r="M16" s="16"/>
    </row>
    <row r="17" spans="1:13" ht="28.35" customHeight="1" x14ac:dyDescent="0.25">
      <c r="A17" s="16"/>
      <c r="B17" s="113" t="s">
        <v>109</v>
      </c>
      <c r="C17" s="114"/>
      <c r="D17" s="114"/>
      <c r="E17" s="114"/>
      <c r="F17" s="115"/>
      <c r="G17" s="61">
        <f>(SUM(G10:G12)-G13)*(1+'Fane 15. Nøgletal'!C10)</f>
        <v>54468551.959075816</v>
      </c>
      <c r="H17" s="8" t="s">
        <v>3</v>
      </c>
      <c r="I17" s="61">
        <f>(SUM(I10:I12)-I13)*(1+'Fane 15. Nøgletal'!C10)</f>
        <v>7025802.6742563797</v>
      </c>
      <c r="J17" s="8" t="s">
        <v>3</v>
      </c>
      <c r="K17" s="61">
        <f>(SUM(K10:K12)-K13)*(1+'Fane 15. Nøgletal'!C10)</f>
        <v>61494354.6333322</v>
      </c>
      <c r="L17" s="8" t="s">
        <v>3</v>
      </c>
      <c r="M17" s="16"/>
    </row>
    <row r="18" spans="1:13" ht="28.35" customHeight="1" x14ac:dyDescent="0.25">
      <c r="A18" s="16"/>
      <c r="B18" s="113" t="s">
        <v>110</v>
      </c>
      <c r="C18" s="114"/>
      <c r="D18" s="114"/>
      <c r="E18" s="114"/>
      <c r="F18" s="115"/>
      <c r="G18" s="61">
        <v>285307.32205582992</v>
      </c>
      <c r="H18" s="8" t="s">
        <v>3</v>
      </c>
      <c r="I18" s="61">
        <v>0</v>
      </c>
      <c r="J18" s="8" t="s">
        <v>3</v>
      </c>
      <c r="K18" s="61">
        <f t="shared" ref="K18" si="1">+G18+I18</f>
        <v>285307.32205582992</v>
      </c>
      <c r="L18" s="8" t="s">
        <v>3</v>
      </c>
      <c r="M18" s="16"/>
    </row>
    <row r="19" spans="1:13" ht="28.35" customHeight="1" x14ac:dyDescent="0.25">
      <c r="A19" s="16"/>
      <c r="B19" s="113" t="s">
        <v>111</v>
      </c>
      <c r="C19" s="114"/>
      <c r="D19" s="114"/>
      <c r="E19" s="114"/>
      <c r="F19" s="115"/>
      <c r="G19" s="61">
        <f>G17*'Fane 15. Nøgletal'!C18+G18*'Fane 15. Nøgletal'!C19</f>
        <v>966575.54337752773</v>
      </c>
      <c r="H19" s="8" t="s">
        <v>3</v>
      </c>
      <c r="I19" s="61">
        <f>I17*'Fane 15. Nøgletal'!C18+I18*'Fane 15. Nøgletal'!C19</f>
        <v>124356.70733433793</v>
      </c>
      <c r="J19" s="8" t="s">
        <v>3</v>
      </c>
      <c r="K19" s="61">
        <f>K17*'Fane 15. Nøgletal'!C18+K18*'Fane 15. Nøgletal'!C19</f>
        <v>1090932.2507118655</v>
      </c>
      <c r="L19" s="8" t="s">
        <v>3</v>
      </c>
      <c r="M19" s="16"/>
    </row>
    <row r="20" spans="1:13" x14ac:dyDescent="0.25">
      <c r="A20" s="16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45"/>
      <c r="M20" s="16"/>
    </row>
    <row r="21" spans="1:13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ht="28.35" customHeight="1" x14ac:dyDescent="0.25">
      <c r="A22" s="16"/>
      <c r="B22" s="107" t="s">
        <v>112</v>
      </c>
      <c r="C22" s="108"/>
      <c r="D22" s="108"/>
      <c r="E22" s="108"/>
      <c r="F22" s="108"/>
      <c r="G22" s="56" t="s">
        <v>263</v>
      </c>
      <c r="H22" s="56"/>
      <c r="I22" s="56" t="s">
        <v>264</v>
      </c>
      <c r="J22" s="56"/>
      <c r="K22" s="56" t="s">
        <v>259</v>
      </c>
      <c r="L22" s="45"/>
      <c r="M22" s="16"/>
    </row>
    <row r="23" spans="1:13" ht="28.35" customHeight="1" x14ac:dyDescent="0.25">
      <c r="A23" s="16"/>
      <c r="B23" s="113" t="s">
        <v>113</v>
      </c>
      <c r="C23" s="114"/>
      <c r="D23" s="114"/>
      <c r="E23" s="114"/>
      <c r="F23" s="115"/>
      <c r="G23" s="61">
        <f>(G17+G18-G19)*(1+'Fane 15. Nøgletal'!C12)</f>
        <v>54846893.227387883</v>
      </c>
      <c r="H23" s="8" t="s">
        <v>3</v>
      </c>
      <c r="I23" s="61">
        <f>(I17+I18-I19)*(1+'Fane 15. Nøgletal'!C12)</f>
        <v>7037404.4524704069</v>
      </c>
      <c r="J23" s="8" t="s">
        <v>3</v>
      </c>
      <c r="K23" s="61">
        <f>(K17+K18-K19)*(1+'Fane 15. Nøgletal'!C12)</f>
        <v>61884297.67985829</v>
      </c>
      <c r="L23" s="8" t="s">
        <v>3</v>
      </c>
      <c r="M23" s="16"/>
    </row>
    <row r="24" spans="1:13" ht="28.35" customHeight="1" x14ac:dyDescent="0.25">
      <c r="A24" s="16"/>
      <c r="B24" s="113" t="s">
        <v>114</v>
      </c>
      <c r="C24" s="114"/>
      <c r="D24" s="114"/>
      <c r="E24" s="114"/>
      <c r="F24" s="115"/>
      <c r="G24" s="61">
        <f>('Fane 2.1. Økonomisk ramme 2020'!C11+'Fane 2.1. Økonomisk ramme 2020'!C13+'Fane 2.1. Økonomisk ramme 2020'!C15)*(1+'Fane 15. Nøgletal'!C12)</f>
        <v>7044.5643097500006</v>
      </c>
      <c r="H24" s="8" t="s">
        <v>3</v>
      </c>
      <c r="I24" s="61">
        <f>('Fane 2.1. Økonomisk ramme 2020'!E11+'Fane 2.1. Økonomisk ramme 2020'!E13+'Fane 2.1. Økonomisk ramme 2020'!E15)*(1+'Fane 15. Nøgletal'!C12)</f>
        <v>0</v>
      </c>
      <c r="J24" s="8" t="s">
        <v>3</v>
      </c>
      <c r="K24" s="61">
        <f>('Fane 2.1. Økonomisk ramme 2020'!G11+'Fane 2.1. Økonomisk ramme 2020'!G13+'Fane 2.1. Økonomisk ramme 2020'!G15)*(1+'Fane 15. Nøgletal'!C12)</f>
        <v>7044.5643097500006</v>
      </c>
      <c r="L24" s="8" t="s">
        <v>3</v>
      </c>
      <c r="M24" s="16"/>
    </row>
    <row r="25" spans="1:13" ht="28.35" customHeight="1" x14ac:dyDescent="0.25">
      <c r="A25" s="16"/>
      <c r="B25" s="113" t="s">
        <v>115</v>
      </c>
      <c r="C25" s="114"/>
      <c r="D25" s="114"/>
      <c r="E25" s="114"/>
      <c r="F25" s="115"/>
      <c r="G25" s="61">
        <f>(G23+G24)*'Fane 15. Nøgletal'!C20</f>
        <v>1557851.833284213</v>
      </c>
      <c r="H25" s="8" t="s">
        <v>3</v>
      </c>
      <c r="I25" s="61">
        <f>(I23+I24)*'Fane 15. Nøgletal'!C20</f>
        <v>199862.28645015956</v>
      </c>
      <c r="J25" s="8" t="s">
        <v>3</v>
      </c>
      <c r="K25" s="61">
        <f>(K23+K24)*'Fane 15. Nøgletal'!C20</f>
        <v>1757714.1197343725</v>
      </c>
      <c r="L25" s="8" t="s">
        <v>3</v>
      </c>
      <c r="M25" s="16"/>
    </row>
    <row r="26" spans="1:13" x14ac:dyDescent="0.25">
      <c r="A26" s="16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45"/>
      <c r="M26" s="16"/>
    </row>
    <row r="27" spans="1:13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28.35" customHeight="1" x14ac:dyDescent="0.25">
      <c r="A28" s="16"/>
      <c r="B28" s="107" t="s">
        <v>116</v>
      </c>
      <c r="C28" s="108"/>
      <c r="D28" s="108"/>
      <c r="E28" s="108"/>
      <c r="F28" s="108"/>
      <c r="G28" s="56" t="s">
        <v>263</v>
      </c>
      <c r="H28" s="56"/>
      <c r="I28" s="56" t="s">
        <v>264</v>
      </c>
      <c r="J28" s="56"/>
      <c r="K28" s="56" t="s">
        <v>259</v>
      </c>
      <c r="L28" s="45"/>
      <c r="M28" s="16"/>
    </row>
    <row r="29" spans="1:13" ht="28.35" customHeight="1" x14ac:dyDescent="0.25">
      <c r="A29" s="16"/>
      <c r="B29" s="113" t="s">
        <v>117</v>
      </c>
      <c r="C29" s="114"/>
      <c r="D29" s="114"/>
      <c r="E29" s="114"/>
      <c r="F29" s="115"/>
      <c r="G29" s="61">
        <f>(G23+G24-G25)*(1+'Fane 15. Nøgletal'!C12)</f>
        <v>54346018.851794168</v>
      </c>
      <c r="H29" s="8" t="s">
        <v>3</v>
      </c>
      <c r="I29" s="61">
        <f>(I23+I24-I25)*(1+'Fane 15. Nøgletal'!C12)</f>
        <v>6972241.746690846</v>
      </c>
      <c r="J29" s="8" t="s">
        <v>3</v>
      </c>
      <c r="K29" s="61">
        <f>(K23+K24-K25)*(1+'Fane 15. Nøgletal'!C12)</f>
        <v>61318260.598485023</v>
      </c>
      <c r="L29" s="8" t="s">
        <v>3</v>
      </c>
      <c r="M29" s="16"/>
    </row>
    <row r="30" spans="1:13" ht="28.35" customHeight="1" x14ac:dyDescent="0.25">
      <c r="A30" s="16"/>
      <c r="B30" s="113" t="s">
        <v>152</v>
      </c>
      <c r="C30" s="114"/>
      <c r="D30" s="114"/>
      <c r="E30" s="114"/>
      <c r="F30" s="115"/>
      <c r="G30" s="61">
        <f>-'Fane 13. Bortfald'!E18*(1+'Fane 15. Nøgletal'!C12)</f>
        <v>0</v>
      </c>
      <c r="H30" s="8" t="s">
        <v>3</v>
      </c>
      <c r="I30" s="61">
        <f>-'Fane 13. Bortfald'!M18*(1+'Fane 15. Nøgletal'!C12)</f>
        <v>0</v>
      </c>
      <c r="J30" s="8" t="s">
        <v>3</v>
      </c>
      <c r="K30" s="61">
        <f t="shared" ref="K30" si="2">+G30+I30</f>
        <v>0</v>
      </c>
      <c r="L30" s="8" t="s">
        <v>3</v>
      </c>
      <c r="M30" s="16"/>
    </row>
    <row r="31" spans="1:13" ht="28.35" customHeight="1" x14ac:dyDescent="0.25">
      <c r="A31" s="16"/>
      <c r="B31" s="113" t="s">
        <v>118</v>
      </c>
      <c r="C31" s="114"/>
      <c r="D31" s="114"/>
      <c r="E31" s="114"/>
      <c r="F31" s="115"/>
      <c r="G31" s="61">
        <f>(G29+G30)*'Fane 15. Nøgletal'!C20</f>
        <v>1543426.9353909544</v>
      </c>
      <c r="H31" s="8" t="s">
        <v>3</v>
      </c>
      <c r="I31" s="61">
        <f>(I29+I30)*'Fane 15. Nøgletal'!C20</f>
        <v>198011.66560602005</v>
      </c>
      <c r="J31" s="8" t="s">
        <v>3</v>
      </c>
      <c r="K31" s="61">
        <f>(K29+K30)*'Fane 15. Nøgletal'!C20</f>
        <v>1741438.6009969749</v>
      </c>
      <c r="L31" s="8" t="s">
        <v>3</v>
      </c>
      <c r="M31" s="16"/>
    </row>
    <row r="32" spans="1:13" x14ac:dyDescent="0.25">
      <c r="A32" s="16"/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45"/>
      <c r="M32" s="16"/>
    </row>
    <row r="33" spans="1:13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28.35" customHeight="1" x14ac:dyDescent="0.25">
      <c r="A34" s="16"/>
      <c r="B34" s="107" t="s">
        <v>127</v>
      </c>
      <c r="C34" s="108"/>
      <c r="D34" s="108"/>
      <c r="E34" s="108"/>
      <c r="F34" s="108"/>
      <c r="G34" s="56" t="s">
        <v>263</v>
      </c>
      <c r="H34" s="56"/>
      <c r="I34" s="56" t="s">
        <v>264</v>
      </c>
      <c r="J34" s="56"/>
      <c r="K34" s="56" t="s">
        <v>259</v>
      </c>
      <c r="L34" s="45"/>
      <c r="M34" s="16"/>
    </row>
    <row r="35" spans="1:13" ht="28.35" customHeight="1" x14ac:dyDescent="0.25">
      <c r="A35" s="16"/>
      <c r="B35" s="113" t="s">
        <v>122</v>
      </c>
      <c r="C35" s="114"/>
      <c r="D35" s="114"/>
      <c r="E35" s="114"/>
      <c r="F35" s="115"/>
      <c r="G35" s="61">
        <f>(G29+G30-G31)*(1+'Fane 15. Nøgletal'!C12)</f>
        <v>53842802.977156356</v>
      </c>
      <c r="H35" s="8" t="s">
        <v>3</v>
      </c>
      <c r="I35" s="61">
        <f>(I29+I30-I31)*(1+'Fane 15. Nøgletal'!C12)</f>
        <v>6907682.4136821972</v>
      </c>
      <c r="J35" s="8" t="s">
        <v>3</v>
      </c>
      <c r="K35" s="61">
        <f>(K29+K30-K31)*(1+'Fane 15. Nøgletal'!C12)</f>
        <v>60750485.390838571</v>
      </c>
      <c r="L35" s="8" t="s">
        <v>3</v>
      </c>
      <c r="M35" s="16"/>
    </row>
    <row r="36" spans="1:13" ht="28.35" customHeight="1" x14ac:dyDescent="0.25">
      <c r="A36" s="16"/>
      <c r="B36" s="113" t="s">
        <v>153</v>
      </c>
      <c r="C36" s="114"/>
      <c r="D36" s="114"/>
      <c r="E36" s="114"/>
      <c r="F36" s="115"/>
      <c r="G36" s="61">
        <f>-'Fane 13. Bortfald'!E24*(1+'Fane 15. Nøgletal'!C12)</f>
        <v>0</v>
      </c>
      <c r="H36" s="8" t="s">
        <v>3</v>
      </c>
      <c r="I36" s="61">
        <f>-'Fane 13. Bortfald'!M24*(1+'Fane 15. Nøgletal'!C12)</f>
        <v>0</v>
      </c>
      <c r="J36" s="8" t="s">
        <v>3</v>
      </c>
      <c r="K36" s="61">
        <f t="shared" ref="K36" si="3">+G36+I36</f>
        <v>0</v>
      </c>
      <c r="L36" s="8" t="s">
        <v>3</v>
      </c>
      <c r="M36" s="16"/>
    </row>
    <row r="37" spans="1:13" ht="28.35" customHeight="1" x14ac:dyDescent="0.25">
      <c r="A37" s="16"/>
      <c r="B37" s="113" t="s">
        <v>119</v>
      </c>
      <c r="C37" s="114"/>
      <c r="D37" s="114"/>
      <c r="E37" s="114"/>
      <c r="F37" s="115"/>
      <c r="G37" s="61">
        <f>(G35+G36)*'Fane 15. Nøgletal'!C20</f>
        <v>1529135.6045512406</v>
      </c>
      <c r="H37" s="8" t="s">
        <v>3</v>
      </c>
      <c r="I37" s="61">
        <f>(I35+I36)*'Fane 15. Nøgletal'!C20</f>
        <v>196178.18054857443</v>
      </c>
      <c r="J37" s="8" t="s">
        <v>3</v>
      </c>
      <c r="K37" s="61">
        <f>(K35+K36)*'Fane 15. Nøgletal'!C20</f>
        <v>1725313.7850998156</v>
      </c>
      <c r="L37" s="8" t="s">
        <v>3</v>
      </c>
      <c r="M37" s="16"/>
    </row>
    <row r="38" spans="1:13" x14ac:dyDescent="0.25">
      <c r="A38" s="16"/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45"/>
      <c r="M38" s="16"/>
    </row>
    <row r="39" spans="1:13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28.35" customHeight="1" x14ac:dyDescent="0.25">
      <c r="A40" s="16"/>
      <c r="B40" s="107" t="s">
        <v>128</v>
      </c>
      <c r="C40" s="108"/>
      <c r="D40" s="108"/>
      <c r="E40" s="108"/>
      <c r="F40" s="108"/>
      <c r="G40" s="56" t="s">
        <v>263</v>
      </c>
      <c r="H40" s="56"/>
      <c r="I40" s="56" t="s">
        <v>264</v>
      </c>
      <c r="J40" s="56"/>
      <c r="K40" s="56" t="s">
        <v>259</v>
      </c>
      <c r="L40" s="45"/>
      <c r="M40" s="16"/>
    </row>
    <row r="41" spans="1:13" ht="28.35" customHeight="1" x14ac:dyDescent="0.25">
      <c r="A41" s="16"/>
      <c r="B41" s="113" t="s">
        <v>121</v>
      </c>
      <c r="C41" s="114"/>
      <c r="D41" s="114"/>
      <c r="E41" s="114"/>
      <c r="F41" s="115"/>
      <c r="G41" s="61">
        <f>(G35+G36-G37)*(1+'Fane 15. Nøgletal'!C12)</f>
        <v>53344246.619845435</v>
      </c>
      <c r="H41" s="8" t="s">
        <v>3</v>
      </c>
      <c r="I41" s="61">
        <f>(I35+I36-I37)*(1+'Fane 15. Nøgletal'!C12)</f>
        <v>6843720.866526355</v>
      </c>
      <c r="J41" s="8" t="s">
        <v>3</v>
      </c>
      <c r="K41" s="61">
        <f>(K35+K36-K37)*(1+'Fane 15. Nøgletal'!C12)</f>
        <v>60187967.486371815</v>
      </c>
      <c r="L41" s="8" t="s">
        <v>3</v>
      </c>
      <c r="M41" s="16"/>
    </row>
    <row r="42" spans="1:13" ht="28.35" customHeight="1" x14ac:dyDescent="0.25">
      <c r="A42" s="16"/>
      <c r="B42" s="113" t="s">
        <v>154</v>
      </c>
      <c r="C42" s="114"/>
      <c r="D42" s="114"/>
      <c r="E42" s="114"/>
      <c r="F42" s="115"/>
      <c r="G42" s="61">
        <f>-'Fane 13. Bortfald'!E30*(1+'Fane 15. Nøgletal'!C12)</f>
        <v>0</v>
      </c>
      <c r="H42" s="8" t="s">
        <v>3</v>
      </c>
      <c r="I42" s="61">
        <f>-'Fane 13. Bortfald'!M30*(1+'Fane 15. Nøgletal'!C12)</f>
        <v>0</v>
      </c>
      <c r="J42" s="8" t="s">
        <v>3</v>
      </c>
      <c r="K42" s="61">
        <f t="shared" ref="K42" si="4">+G42+I42</f>
        <v>0</v>
      </c>
      <c r="L42" s="8" t="s">
        <v>3</v>
      </c>
      <c r="M42" s="16"/>
    </row>
    <row r="43" spans="1:13" ht="28.35" customHeight="1" x14ac:dyDescent="0.25">
      <c r="A43" s="16"/>
      <c r="B43" s="113" t="s">
        <v>120</v>
      </c>
      <c r="C43" s="114"/>
      <c r="D43" s="114"/>
      <c r="E43" s="114"/>
      <c r="F43" s="115"/>
      <c r="G43" s="61">
        <f>(G41+G42)*'Fane 15. Nøgletal'!C20</f>
        <v>1514976.6040036106</v>
      </c>
      <c r="H43" s="8" t="s">
        <v>3</v>
      </c>
      <c r="I43" s="61">
        <f>(I41+I42)*'Fane 15. Nøgletal'!C20</f>
        <v>194361.67260934849</v>
      </c>
      <c r="J43" s="8" t="s">
        <v>3</v>
      </c>
      <c r="K43" s="61">
        <f>(K41+K42)*'Fane 15. Nøgletal'!C20</f>
        <v>1709338.2766129596</v>
      </c>
      <c r="L43" s="8" t="s">
        <v>3</v>
      </c>
      <c r="M43" s="16"/>
    </row>
    <row r="44" spans="1:13" x14ac:dyDescent="0.25">
      <c r="A44" s="16"/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45"/>
      <c r="M44" s="16"/>
    </row>
    <row r="45" spans="1:13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</sheetData>
  <sheetProtection algorithmName="SHA-512" hashValue="GJ8RIJL/GFCT4R/0ShF6OZbArWADiZ0og2wEirBl9/+/TMH49we2AXnj0smu1M/3ek7SOcadIlo+cyje7lkohA==" saltValue="uXOReeuhr7lwn8/v+An1Pw==" spinCount="100000" sheet="1" objects="1" scenarios="1"/>
  <mergeCells count="29">
    <mergeCell ref="B37:F37"/>
    <mergeCell ref="B41:F41"/>
    <mergeCell ref="B29:F29"/>
    <mergeCell ref="B31:F31"/>
    <mergeCell ref="B36:F36"/>
    <mergeCell ref="B34:F34"/>
    <mergeCell ref="B40:F40"/>
    <mergeCell ref="B2:L2"/>
    <mergeCell ref="B35:F35"/>
    <mergeCell ref="B43:F43"/>
    <mergeCell ref="B19:F19"/>
    <mergeCell ref="B5:F5"/>
    <mergeCell ref="B6:F6"/>
    <mergeCell ref="B10:F10"/>
    <mergeCell ref="B12:F12"/>
    <mergeCell ref="B13:F13"/>
    <mergeCell ref="B17:F17"/>
    <mergeCell ref="B18:F18"/>
    <mergeCell ref="B30:F30"/>
    <mergeCell ref="B11:F11"/>
    <mergeCell ref="B42:F42"/>
    <mergeCell ref="B23:F23"/>
    <mergeCell ref="B24:F24"/>
    <mergeCell ref="B4:F4"/>
    <mergeCell ref="B9:F9"/>
    <mergeCell ref="B16:F16"/>
    <mergeCell ref="B22:F22"/>
    <mergeCell ref="B28:F28"/>
    <mergeCell ref="B25:F25"/>
  </mergeCells>
  <pageMargins left="0.38194444444444442" right="0.30555555555555558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5"/>
  <sheetViews>
    <sheetView showGridLines="0" view="pageLayout" zoomScaleNormal="100" workbookViewId="0">
      <selection activeCell="B8" sqref="B8:H8"/>
    </sheetView>
  </sheetViews>
  <sheetFormatPr defaultColWidth="9.140625" defaultRowHeight="15" x14ac:dyDescent="0.25"/>
  <cols>
    <col min="1" max="1" width="7.85546875" style="48" customWidth="1"/>
    <col min="2" max="5" width="9.140625" style="48"/>
    <col min="6" max="6" width="19.85546875" style="48" customWidth="1"/>
    <col min="7" max="7" width="10.28515625" style="48" customWidth="1"/>
    <col min="8" max="8" width="3.28515625" style="48" customWidth="1"/>
    <col min="9" max="9" width="7.85546875" style="48" customWidth="1"/>
    <col min="10" max="16384" width="9.140625" style="48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15" customHeight="1" x14ac:dyDescent="0.25">
      <c r="A3" s="16"/>
      <c r="B3" s="104" t="s">
        <v>145</v>
      </c>
      <c r="C3" s="104"/>
      <c r="D3" s="104"/>
      <c r="E3" s="104"/>
      <c r="F3" s="104"/>
      <c r="G3" s="104"/>
      <c r="H3" s="104"/>
      <c r="I3" s="16"/>
    </row>
    <row r="4" spans="1:9" ht="15" customHeight="1" x14ac:dyDescent="0.25">
      <c r="A4" s="16"/>
      <c r="B4" s="104"/>
      <c r="C4" s="104"/>
      <c r="D4" s="104"/>
      <c r="E4" s="104"/>
      <c r="F4" s="104"/>
      <c r="G4" s="104"/>
      <c r="H4" s="104"/>
      <c r="I4" s="16"/>
    </row>
    <row r="5" spans="1:9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9" x14ac:dyDescent="0.25">
      <c r="A8" s="16"/>
      <c r="B8" s="107" t="s">
        <v>265</v>
      </c>
      <c r="C8" s="108"/>
      <c r="D8" s="108"/>
      <c r="E8" s="108"/>
      <c r="F8" s="108"/>
      <c r="G8" s="108"/>
      <c r="H8" s="109"/>
      <c r="I8" s="16"/>
    </row>
    <row r="9" spans="1:9" x14ac:dyDescent="0.25">
      <c r="A9" s="16"/>
      <c r="B9" s="113" t="s">
        <v>129</v>
      </c>
      <c r="C9" s="114"/>
      <c r="D9" s="114"/>
      <c r="E9" s="114"/>
      <c r="F9" s="115"/>
      <c r="G9" s="62">
        <v>0</v>
      </c>
      <c r="H9" s="8"/>
      <c r="I9" s="16"/>
    </row>
    <row r="10" spans="1:9" x14ac:dyDescent="0.25">
      <c r="A10" s="16"/>
      <c r="B10" s="113" t="s">
        <v>130</v>
      </c>
      <c r="C10" s="114"/>
      <c r="D10" s="114"/>
      <c r="E10" s="114"/>
      <c r="F10" s="115"/>
      <c r="G10" s="62">
        <v>0</v>
      </c>
      <c r="H10" s="8"/>
      <c r="I10" s="16"/>
    </row>
    <row r="11" spans="1:9" x14ac:dyDescent="0.25">
      <c r="A11" s="16"/>
      <c r="B11" s="113" t="s">
        <v>131</v>
      </c>
      <c r="C11" s="114"/>
      <c r="D11" s="114"/>
      <c r="E11" s="114"/>
      <c r="F11" s="115"/>
      <c r="G11" s="63">
        <v>0</v>
      </c>
      <c r="H11" s="8"/>
      <c r="I11" s="16"/>
    </row>
    <row r="12" spans="1:9" x14ac:dyDescent="0.25">
      <c r="A12" s="16"/>
      <c r="B12" s="55"/>
      <c r="C12" s="56"/>
      <c r="D12" s="56"/>
      <c r="E12" s="56"/>
      <c r="F12" s="56"/>
      <c r="G12" s="56"/>
      <c r="H12" s="45"/>
      <c r="I12" s="16"/>
    </row>
    <row r="13" spans="1:9" x14ac:dyDescent="0.25">
      <c r="A13" s="16"/>
      <c r="B13" s="16"/>
      <c r="C13" s="16"/>
      <c r="D13" s="16"/>
      <c r="E13" s="16"/>
      <c r="F13" s="16"/>
      <c r="G13" s="16"/>
      <c r="H13" s="16"/>
      <c r="I13" s="16"/>
    </row>
    <row r="14" spans="1:9" x14ac:dyDescent="0.25">
      <c r="A14" s="16"/>
      <c r="B14" s="107" t="s">
        <v>266</v>
      </c>
      <c r="C14" s="108"/>
      <c r="D14" s="108"/>
      <c r="E14" s="108"/>
      <c r="F14" s="108"/>
      <c r="G14" s="108"/>
      <c r="H14" s="109"/>
      <c r="I14" s="16"/>
    </row>
    <row r="15" spans="1:9" x14ac:dyDescent="0.25">
      <c r="A15" s="16"/>
      <c r="B15" s="113" t="s">
        <v>129</v>
      </c>
      <c r="C15" s="114"/>
      <c r="D15" s="114"/>
      <c r="E15" s="114"/>
      <c r="F15" s="115"/>
      <c r="G15" s="62">
        <v>0</v>
      </c>
      <c r="H15" s="8"/>
      <c r="I15" s="16"/>
    </row>
    <row r="16" spans="1:9" x14ac:dyDescent="0.25">
      <c r="A16" s="16"/>
      <c r="B16" s="113" t="s">
        <v>130</v>
      </c>
      <c r="C16" s="114"/>
      <c r="D16" s="114"/>
      <c r="E16" s="114"/>
      <c r="F16" s="115"/>
      <c r="G16" s="62">
        <v>0</v>
      </c>
      <c r="H16" s="8"/>
      <c r="I16" s="16"/>
    </row>
    <row r="17" spans="1:9" x14ac:dyDescent="0.25">
      <c r="A17" s="16"/>
      <c r="B17" s="113" t="s">
        <v>131</v>
      </c>
      <c r="C17" s="114"/>
      <c r="D17" s="114"/>
      <c r="E17" s="114"/>
      <c r="F17" s="115"/>
      <c r="G17" s="63">
        <v>3.6364754432262206E-3</v>
      </c>
      <c r="H17" s="8"/>
      <c r="I17" s="16"/>
    </row>
    <row r="18" spans="1:9" x14ac:dyDescent="0.25">
      <c r="A18" s="16"/>
      <c r="B18" s="55"/>
      <c r="C18" s="56"/>
      <c r="D18" s="56"/>
      <c r="E18" s="56"/>
      <c r="F18" s="56"/>
      <c r="G18" s="56"/>
      <c r="H18" s="45"/>
      <c r="I18" s="16"/>
    </row>
    <row r="19" spans="1:9" x14ac:dyDescent="0.25">
      <c r="A19" s="16"/>
      <c r="B19" s="16"/>
      <c r="C19" s="16"/>
      <c r="D19" s="16"/>
      <c r="E19" s="16"/>
      <c r="F19" s="16"/>
      <c r="G19" s="16"/>
      <c r="H19" s="16"/>
      <c r="I19" s="16"/>
    </row>
    <row r="20" spans="1:9" ht="30.75" customHeight="1" x14ac:dyDescent="0.25">
      <c r="A20" s="16"/>
      <c r="B20" s="128" t="s">
        <v>76</v>
      </c>
      <c r="C20" s="128"/>
      <c r="D20" s="128"/>
      <c r="E20" s="128"/>
      <c r="F20" s="128"/>
      <c r="G20" s="128"/>
      <c r="H20" s="128"/>
      <c r="I20" s="16"/>
    </row>
    <row r="21" spans="1:9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9" x14ac:dyDescent="0.25">
      <c r="A22" s="16"/>
      <c r="B22" s="16"/>
      <c r="C22" s="16"/>
      <c r="D22" s="16"/>
      <c r="E22" s="16"/>
      <c r="F22" s="16"/>
      <c r="G22" s="16"/>
      <c r="H22" s="16"/>
      <c r="I22" s="16"/>
    </row>
    <row r="23" spans="1:9" x14ac:dyDescent="0.25">
      <c r="A23" s="16"/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x14ac:dyDescent="0.25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25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25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25">
      <c r="A31" s="16"/>
      <c r="B31" s="16"/>
      <c r="C31" s="16"/>
      <c r="D31" s="16"/>
      <c r="E31" s="16"/>
      <c r="F31" s="16"/>
      <c r="G31" s="16"/>
      <c r="H31" s="16"/>
      <c r="I31" s="16"/>
    </row>
    <row r="32" spans="1:9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s="16"/>
      <c r="B34" s="16"/>
      <c r="C34" s="16"/>
      <c r="D34" s="16"/>
      <c r="E34" s="16"/>
      <c r="F34" s="16"/>
      <c r="G34" s="16"/>
      <c r="H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  <row r="42" spans="1:9" x14ac:dyDescent="0.25">
      <c r="A42" s="16"/>
      <c r="B42" s="16"/>
      <c r="C42" s="16"/>
      <c r="D42" s="16"/>
      <c r="E42" s="16"/>
      <c r="F42" s="16"/>
      <c r="G42" s="16"/>
      <c r="H42" s="16"/>
      <c r="I42" s="16"/>
    </row>
    <row r="43" spans="1:9" x14ac:dyDescent="0.25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25">
      <c r="A44" s="16"/>
      <c r="B44" s="16"/>
      <c r="C44" s="16"/>
      <c r="D44" s="16"/>
      <c r="E44" s="16"/>
      <c r="F44" s="16"/>
      <c r="G44" s="16"/>
      <c r="H44" s="16"/>
      <c r="I44" s="16"/>
    </row>
    <row r="45" spans="1:9" x14ac:dyDescent="0.2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2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2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2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2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25">
      <c r="A50" s="16"/>
      <c r="B50" s="16"/>
      <c r="C50" s="16"/>
      <c r="D50" s="16"/>
      <c r="E50" s="16"/>
      <c r="F50" s="16"/>
      <c r="G50" s="16"/>
      <c r="H50" s="16"/>
      <c r="I50" s="16"/>
    </row>
    <row r="51" spans="1:9" x14ac:dyDescent="0.25">
      <c r="A51" s="16"/>
      <c r="B51" s="16"/>
      <c r="C51" s="16"/>
      <c r="D51" s="16"/>
      <c r="E51" s="16"/>
      <c r="F51" s="16"/>
      <c r="G51" s="16"/>
      <c r="H51" s="16"/>
      <c r="I51" s="16"/>
    </row>
    <row r="52" spans="1:9" x14ac:dyDescent="0.25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25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25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25">
      <c r="A55" s="16"/>
      <c r="B55" s="16"/>
      <c r="C55" s="16"/>
      <c r="D55" s="16"/>
      <c r="E55" s="16"/>
      <c r="F55" s="16"/>
      <c r="G55" s="16"/>
      <c r="H55" s="16"/>
      <c r="I55" s="16"/>
    </row>
  </sheetData>
  <sheetProtection algorithmName="SHA-512" hashValue="qYDoWXEcOu+mU8ZloCtzUkDj9VwtEL5OLWw7ck+i5B9XfX1obkCDbWPCvFNvgeXf7PAN6XL29fbHcDCRwxnjbQ==" saltValue="hfoLrm3HSg6DUlg/+6ZbSg==" spinCount="100000" sheet="1" objects="1" scenarios="1"/>
  <mergeCells count="10">
    <mergeCell ref="B3:H4"/>
    <mergeCell ref="B20:H20"/>
    <mergeCell ref="B9:F9"/>
    <mergeCell ref="B8:H8"/>
    <mergeCell ref="B10:F10"/>
    <mergeCell ref="B11:F11"/>
    <mergeCell ref="B14:H14"/>
    <mergeCell ref="B15:F15"/>
    <mergeCell ref="B16:F16"/>
    <mergeCell ref="B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Laurids Rudbeck Røge</cp:lastModifiedBy>
  <cp:lastPrinted>2016-06-14T12:57:30Z</cp:lastPrinted>
  <dcterms:created xsi:type="dcterms:W3CDTF">2016-06-02T08:51:18Z</dcterms:created>
  <dcterms:modified xsi:type="dcterms:W3CDTF">2020-07-03T08:18:10Z</dcterms:modified>
</cp:coreProperties>
</file>