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Vejen Spildevand (S102)\ØR2024\"/>
    </mc:Choice>
  </mc:AlternateContent>
  <xr:revisionPtr revIDLastSave="0" documentId="13_ncr:1_{9ABD0751-E815-4597-BF04-E026FFC016BA}"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7" i="44"/>
  <c r="E25" i="44" l="1"/>
  <c r="E18" i="44"/>
  <c r="C9" i="2"/>
  <c r="E29" i="44" l="1"/>
  <c r="E31" i="44" s="1"/>
  <c r="E30" i="20"/>
  <c r="E29" i="20"/>
  <c r="E31" i="20" s="1"/>
  <c r="E24" i="20"/>
  <c r="E23" i="20"/>
  <c r="E25" i="20" s="1"/>
  <c r="C32" i="2" l="1"/>
  <c r="C20" i="15"/>
  <c r="G18" i="41"/>
  <c r="E17" i="20" l="1"/>
  <c r="E11" i="20"/>
  <c r="C22" i="23" l="1"/>
  <c r="C22" i="22"/>
  <c r="C22" i="15"/>
  <c r="C36" i="2"/>
  <c r="C13" i="29" l="1"/>
  <c r="C14" i="29" s="1"/>
  <c r="E13" i="29"/>
  <c r="E14" i="29" s="1"/>
  <c r="E15" i="39"/>
  <c r="E16" i="39" s="1"/>
  <c r="C15" i="39"/>
  <c r="C16"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<sst xmlns="http://schemas.openxmlformats.org/spreadsheetml/2006/main" count="665" uniqueCount="295">
  <si>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</si>
  <si>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</si>
  <si>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</si>
  <si>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</si>
  <si>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</si>
  <si>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</si>
  <si>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</si>
  <si>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</si>
  <si>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</si>
  <si>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</si>
  <si>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</si>
  <si>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</si>
  <si>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</si>
  <si>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</si>
  <si>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</si>
  <si>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</si>
  <si>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</si>
  <si>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</si>
  <si>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</si>
  <si>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</si>
  <si>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</si>
  <si>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</si>
  <si>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</si>
  <si>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</si>
  <si>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</si>
  <si>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</si>
  <si>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</si>
  <si>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</si>
  <si>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</si>
  <si>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</si>
  <si>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</si>
  <si>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</si>
  <si>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</si>
  <si>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</si>
  <si>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</si>
  <si>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</si>
  <si>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</si>
  <si>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</si>
  <si>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</si>
  <si>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</si>
  <si>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</si>
  <si>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</si>
  <si>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</si>
  <si>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</si>
  <si>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</si>
  <si>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</si>
  <si>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</si>
  <si>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</si>
  <si>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</si>
  <si>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</si>
  <si>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</si>
  <si>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</si>
  <si>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</si>
  <si>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</si>
  <si>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</si>
  <si>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</si>
  <si>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</si>
  <si>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</si>
  <si>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</si>
  <si>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</si>
  <si>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</si>
  <si>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</si>
  <si>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</si>
  <si>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</si>
  <si>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</si>
  <si>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</si>
  <si>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</si>
  <si>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</si>
  <si>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</si>
  <si>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</si>
  <si>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</si>
  <si>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</si>
  <si>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</si>
  <si>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</si>
  <si>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</si>
  <si>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</si>
  <si>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</si>
  <si>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</si>
  <si>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</si>
  <si>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</si>
  <si>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</si>
  <si>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</si>
  <si>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</si>
  <si>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</si>
  <si>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</si>
  <si>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</si>
  <si>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</si>
  <si>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</si>
  <si>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</si>
  <si>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</si>
  <si>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</si>
  <si>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</si>
  <si>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</si>
  <si>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</si>
  <si>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</si>
  <si>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</si>
  <si>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</si>
  <si>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</si>
  <si>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</si>
  <si>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</si>
  <si>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</si>
  <si>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</si>
  <si>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</si>
  <si>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</si>
  <si>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</si>
  <si>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</si>
  <si>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</si>
  <si>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</si>
  <si>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</si>
  <si>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</si>
  <si>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</si>
  <si>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</si>
  <si>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</si>
  <si>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</si>
  <si>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</si>
  <si>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</si>
  <si>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</si>
  <si>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</si>
  <si>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</si>
  <si>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</si>
  <si>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</si>
  <si>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</si>
  <si>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</si>
  <si>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</si>
  <si>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</si>
  <si>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</si>
  <si>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</si>
  <si>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</si>
  <si>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</si>
  <si>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</si>
  <si>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</si>
  <si>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</si>
  <si>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</si>
  <si>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</si>
  <si>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</si>
  <si>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</si>
  <si>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</si>
  <si>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</si>
  <si>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</si>
  <si>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</si>
  <si>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</si>
  <si>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</si>
  <si>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</si>
  <si>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</si>
  <si>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</si>
  <si>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</si>
  <si>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</si>
  <si>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</si>
  <si>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</si>
  <si>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</si>
  <si>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</si>
  <si>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</si>
  <si>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</si>
  <si>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</si>
  <si>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</si>
  <si>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</si>
  <si>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</si>
  <si>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</si>
  <si>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</si>
  <si>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</si>
  <si>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</si>
  <si>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</si>
  <si>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</si>
  <si>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</si>
  <si>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</si>
  <si>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</si>
  <si>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</si>
  <si>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</si>
  <si>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</si>
  <si>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</si>
  <si>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</si>
  <si>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</si>
  <si>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</si>
  <si>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</si>
  <si>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</si>
  <si>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</si>
  <si>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</si>
  <si>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</si>
  <si>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</si>
  <si>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</si>
  <si>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</si>
  <si>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</si>
  <si>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</si>
  <si>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</si>
  <si>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</si>
  <si>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</si>
  <si>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</si>
  <si>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</si>
  <si>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</si>
  <si>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</si>
  <si>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</si>
  <si>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</si>
  <si>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</si>
  <si>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</si>
  <si>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</si>
  <si>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</si>
  <si>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</si>
  <si>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</si>
  <si>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</si>
  <si>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</si>
  <si>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</si>
  <si>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</si>
  <si>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</si>
  <si>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</si>
  <si>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</si>
  <si>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</si>
  <si>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</si>
  <si>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</si>
  <si>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</si>
  <si>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</si>
  <si>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</si>
  <si>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</si>
  <si>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</si>
  <si>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</si>
  <si>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</si>
  <si>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</si>
  <si>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</si>
  <si>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</si>
  <si>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</si>
  <si>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</si>
  <si>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</si>
  <si>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</si>
  <si>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</si>
  <si>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</si>
  <si>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</si>
  <si>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</si>
  <si>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</si>
  <si>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</si>
  <si>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</si>
  <si>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</si>
  <si>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</si>
  <si>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</si>
  <si>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</si>
  <si>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</si>
  <si>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</si>
  <si>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</si>
  <si>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</si>
  <si>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</si>
  <si>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</si>
  <si>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</si>
  <si>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</si>
  <si>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</si>
  <si>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</si>
  <si>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</si>
  <si>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</si>
  <si>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</si>
  <si>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</si>
  <si>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</si>
  <si>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</si>
  <si>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</si>
  <si>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</si>
  <si>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</si>
  <si>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</si>
  <si>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</si>
  <si>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</si>
  <si>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</si>
  <si>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</si>
  <si>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</si>
  <si>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</si>
  <si>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</si>
  <si>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</si>
  <si>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</si>
  <si>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</si>
  <si>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</si>
  <si>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</si>
  <si>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</si>
  <si>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</si>
  <si>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</si>
  <si>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</si>
  <si>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</si>
  <si>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</si>
  <si>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</si>
  <si>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</si>
  <si>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Ejendomsskatter</t>
  </si>
  <si>
    <t>Erstatninger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</si>
  <si>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</si>
  <si>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</si>
  <si>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</si>
  <si>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</si>
  <si>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</si>
  <si>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</si>
  <si>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</si>
  <si>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</si>
  <si>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</si>
  <si>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</si>
  <si>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</si>
  <si>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</si>
  <si>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Kundekampange</t>
  </si>
  <si>
    <t>uvedkommende vand, fejltilslutninger og overløb</t>
  </si>
  <si>
    <t>Byggemodning</t>
  </si>
  <si>
    <t>Nye tilslutninger</t>
  </si>
  <si>
    <t>Uvedkommende vand, fejltilslutninger og overløb</t>
  </si>
  <si>
    <t>Ressourcestrategi</t>
  </si>
  <si>
    <t>Udledningstilladelser</t>
  </si>
  <si>
    <t>Engangstillæg i alt i 2022-prisniveau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</si>
</sst>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251</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196</v>
      </c>
      <c r="E13" s="104"/>
      <c r="F13" s="104"/>
      <c r="G13" s="105"/>
      <c r="H13" s="5"/>
      <c r="I13" s="1"/>
    </row>
    <row r="14" spans="1:9" x14ac:dyDescent="0.25">
      <c r="A14" s="1"/>
      <c r="B14" s="1"/>
      <c r="C14" s="6" t="s">
        <v>16</v>
      </c>
      <c r="D14" s="88" t="s">
        <v>197</v>
      </c>
      <c r="E14" s="89"/>
      <c r="F14" s="89"/>
      <c r="G14" s="90"/>
      <c r="H14" s="5"/>
      <c r="I14" s="1"/>
    </row>
    <row r="15" spans="1:9" x14ac:dyDescent="0.25">
      <c r="A15" s="1"/>
      <c r="B15" s="1"/>
      <c r="C15" s="6" t="s">
        <v>31</v>
      </c>
      <c r="D15" s="88" t="s">
        <v>261</v>
      </c>
      <c r="E15" s="89"/>
      <c r="F15" s="89"/>
      <c r="G15" s="90"/>
      <c r="H15" s="5"/>
      <c r="I15" s="1"/>
    </row>
    <row r="16" spans="1:9" x14ac:dyDescent="0.25">
      <c r="A16" s="1"/>
      <c r="B16" s="1"/>
      <c r="C16" s="6" t="s">
        <v>32</v>
      </c>
      <c r="D16" s="88" t="s">
        <v>262</v>
      </c>
      <c r="E16" s="89"/>
      <c r="F16" s="89"/>
      <c r="G16" s="90"/>
      <c r="H16" s="5"/>
      <c r="I16" s="1"/>
    </row>
    <row r="17" spans="1:9" x14ac:dyDescent="0.25">
      <c r="A17" s="1"/>
      <c r="B17" s="1"/>
      <c r="C17" s="6" t="s">
        <v>101</v>
      </c>
      <c r="D17" s="88" t="s">
        <v>198</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199</v>
      </c>
      <c r="E22" s="96"/>
      <c r="F22" s="96"/>
      <c r="G22" s="97"/>
      <c r="H22" s="5"/>
      <c r="I22" s="1"/>
    </row>
    <row r="23" spans="1:9" x14ac:dyDescent="0.25">
      <c r="A23" s="1"/>
      <c r="B23" s="1"/>
      <c r="C23" s="6" t="s">
        <v>8</v>
      </c>
      <c r="D23" s="95" t="s">
        <v>181</v>
      </c>
      <c r="E23" s="96"/>
      <c r="F23" s="96"/>
      <c r="G23" s="97"/>
      <c r="H23" s="5"/>
      <c r="I23" s="1"/>
    </row>
    <row r="24" spans="1:9" x14ac:dyDescent="0.25">
      <c r="A24" s="1"/>
      <c r="B24" s="1"/>
      <c r="C24" s="6" t="s">
        <v>9</v>
      </c>
      <c r="D24" s="95" t="s">
        <v>200</v>
      </c>
      <c r="E24" s="96"/>
      <c r="F24" s="96"/>
      <c r="G24" s="97"/>
      <c r="H24" s="5"/>
      <c r="I24" s="1"/>
    </row>
    <row r="25" spans="1:9" x14ac:dyDescent="0.25">
      <c r="A25" s="1"/>
      <c r="B25" s="1"/>
      <c r="C25" s="6" t="s">
        <v>166</v>
      </c>
      <c r="D25" s="95" t="s">
        <v>160</v>
      </c>
      <c r="E25" s="96"/>
      <c r="F25" s="96"/>
      <c r="G25" s="97"/>
      <c r="H25" s="1"/>
      <c r="I25" s="1"/>
    </row>
    <row r="26" spans="1:9" x14ac:dyDescent="0.25">
      <c r="A26" s="1"/>
      <c r="B26" s="1"/>
      <c r="C26" s="6" t="s">
        <v>167</v>
      </c>
      <c r="D26" s="95" t="s">
        <v>72</v>
      </c>
      <c r="E26" s="96"/>
      <c r="F26" s="96"/>
      <c r="G26" s="97"/>
      <c r="H26" s="1"/>
      <c r="I26" s="1"/>
    </row>
    <row r="27" spans="1:9" x14ac:dyDescent="0.25">
      <c r="A27" s="1"/>
      <c r="B27" s="1"/>
      <c r="C27" s="6" t="s">
        <v>168</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169</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7OUsWydX4vcwMVoGYAXhmhwSnJWFO69j+ulWFRb8ELCCqUj0BBeIVp4fj7/nRkTLCghYybs6PHuKiIsPLiceCA==" saltValue="WXoyG8XQK9n/AnzCx62US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80" t="s">
        <v>271</v>
      </c>
      <c r="C10" s="9">
        <v>94874</v>
      </c>
      <c r="D10" s="14" t="s">
        <v>3</v>
      </c>
      <c r="E10" s="1"/>
      <c r="F10" s="1"/>
    </row>
    <row r="11" spans="1:6" ht="26.25" x14ac:dyDescent="0.25">
      <c r="A11" s="1"/>
      <c r="B11" s="29" t="s">
        <v>272</v>
      </c>
      <c r="C11" s="9">
        <v>208220</v>
      </c>
      <c r="D11" s="14" t="s">
        <v>3</v>
      </c>
      <c r="E11" s="1"/>
      <c r="F11" s="1"/>
    </row>
    <row r="12" spans="1:6" x14ac:dyDescent="0.25">
      <c r="A12" s="1"/>
      <c r="B12" s="80" t="s">
        <v>273</v>
      </c>
      <c r="C12" s="9">
        <v>75463</v>
      </c>
      <c r="D12" s="14" t="s">
        <v>3</v>
      </c>
      <c r="E12" s="1"/>
      <c r="F12" s="1"/>
    </row>
    <row r="13" spans="1:6" x14ac:dyDescent="0.25">
      <c r="A13" s="1"/>
      <c r="B13" s="80" t="s">
        <v>274</v>
      </c>
      <c r="C13" s="9">
        <v>6436</v>
      </c>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384993</v>
      </c>
      <c r="D20" s="13" t="s">
        <v>3</v>
      </c>
      <c r="E20" s="1"/>
      <c r="F20" s="1"/>
    </row>
    <row r="21" spans="1:6" x14ac:dyDescent="0.25">
      <c r="A21" s="1"/>
      <c r="B21" s="33" t="s">
        <v>227</v>
      </c>
      <c r="C21" s="12">
        <f>C20*(1+'Fane 15. Nøgletal'!C16)^2</f>
        <v>449721.34949951997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0" t="s">
        <v>109</v>
      </c>
      <c r="C25" s="9">
        <v>0</v>
      </c>
      <c r="D25" s="14" t="s">
        <v>3</v>
      </c>
      <c r="E25" s="1"/>
      <c r="F25" s="1"/>
    </row>
    <row r="26" spans="1:6" x14ac:dyDescent="0.25">
      <c r="A26" s="1"/>
      <c r="B26" s="80" t="s">
        <v>123</v>
      </c>
      <c r="C26" s="9">
        <v>0</v>
      </c>
      <c r="D26" s="14" t="s">
        <v>3</v>
      </c>
      <c r="E26" s="1"/>
      <c r="F26" s="1"/>
    </row>
    <row r="27" spans="1:6" x14ac:dyDescent="0.25">
      <c r="A27" s="1"/>
      <c r="B27" s="80" t="s">
        <v>142</v>
      </c>
      <c r="C27" s="9">
        <v>0</v>
      </c>
      <c r="D27" s="14" t="s">
        <v>3</v>
      </c>
      <c r="E27" s="1"/>
      <c r="F27" s="1"/>
    </row>
    <row r="28" spans="1:6" x14ac:dyDescent="0.25">
      <c r="A28" s="1"/>
      <c r="B28" s="34" t="s">
        <v>260</v>
      </c>
      <c r="C28" s="9">
        <v>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260</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QlV1iJAR4sT+oPLzQJrMpbrWGyuuLVxKp89QAZD7N3mwrWifGk8c4HDMdMroTq+Uma5bwdMXUWcrpj5A1gg1cA==" saltValue="IGwJgbS9yz4V3kMJ34aJV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620D-AF2C-47E9-B3EA-082D21F2C0EE}">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275</v>
      </c>
      <c r="C9" s="120"/>
      <c r="D9" s="121"/>
      <c r="E9" s="9">
        <v>21266613</v>
      </c>
      <c r="F9" s="14" t="s">
        <v>3</v>
      </c>
      <c r="G9" s="1"/>
    </row>
    <row r="10" spans="1:7" ht="15" customHeight="1" x14ac:dyDescent="0.25">
      <c r="A10" s="1"/>
      <c r="B10" s="119" t="s">
        <v>143</v>
      </c>
      <c r="C10" s="120"/>
      <c r="D10" s="121"/>
      <c r="E10" s="9">
        <v>22166458</v>
      </c>
      <c r="F10" s="14" t="s">
        <v>3</v>
      </c>
      <c r="G10" s="1"/>
    </row>
    <row r="11" spans="1:7" ht="15" customHeight="1" x14ac:dyDescent="0.25">
      <c r="A11" s="1"/>
      <c r="B11" s="119" t="s">
        <v>276</v>
      </c>
      <c r="C11" s="120"/>
      <c r="D11" s="121"/>
      <c r="E11" s="9">
        <v>10437491</v>
      </c>
      <c r="F11" s="14" t="s">
        <v>3</v>
      </c>
      <c r="G11" s="1"/>
    </row>
    <row r="12" spans="1:7" x14ac:dyDescent="0.25">
      <c r="A12" s="1"/>
      <c r="B12" s="33"/>
      <c r="C12" s="28"/>
      <c r="D12" s="28"/>
      <c r="E12" s="28"/>
      <c r="F12" s="19"/>
      <c r="G12" s="1"/>
    </row>
    <row r="13" spans="1:7" ht="42" customHeight="1" x14ac:dyDescent="0.25">
      <c r="A13" s="1"/>
      <c r="B13" s="113" t="s">
        <v>277</v>
      </c>
      <c r="C13" s="114"/>
      <c r="D13" s="114"/>
      <c r="E13" s="114"/>
      <c r="F13" s="115"/>
      <c r="G13" s="1"/>
    </row>
    <row r="14" spans="1:7" ht="15" customHeight="1" x14ac:dyDescent="0.25">
      <c r="A14" s="1"/>
      <c r="B14" s="1"/>
      <c r="C14" s="1"/>
      <c r="D14" s="1"/>
      <c r="E14" s="1"/>
      <c r="F14" s="1"/>
      <c r="G14" s="1"/>
    </row>
    <row r="15" spans="1:7" x14ac:dyDescent="0.25">
      <c r="A15" s="1"/>
      <c r="B15" s="74" t="s">
        <v>278</v>
      </c>
      <c r="C15" s="75"/>
      <c r="D15" s="75"/>
      <c r="E15" s="75"/>
      <c r="F15" s="76"/>
      <c r="G15" s="1"/>
    </row>
    <row r="16" spans="1:7" x14ac:dyDescent="0.25">
      <c r="A16" s="1"/>
      <c r="B16" s="77" t="s">
        <v>279</v>
      </c>
      <c r="C16" s="78"/>
      <c r="D16" s="79"/>
      <c r="E16" s="9">
        <f>IF(E11&lt;0,E11,0)</f>
        <v>0</v>
      </c>
      <c r="F16" s="14" t="s">
        <v>3</v>
      </c>
      <c r="G16" s="1"/>
    </row>
    <row r="17" spans="1:7" x14ac:dyDescent="0.25">
      <c r="A17" s="1"/>
      <c r="B17" s="77" t="s">
        <v>280</v>
      </c>
      <c r="C17" s="78"/>
      <c r="D17" s="79"/>
      <c r="E17" s="9">
        <f>IF(SUM(E10)&gt;0,SUM(E10),0)</f>
        <v>22166458</v>
      </c>
      <c r="F17" s="14" t="s">
        <v>3</v>
      </c>
      <c r="G17" s="1"/>
    </row>
    <row r="18" spans="1:7" x14ac:dyDescent="0.25">
      <c r="A18" s="1"/>
      <c r="B18" s="81" t="s">
        <v>281</v>
      </c>
      <c r="C18" s="82"/>
      <c r="D18" s="83"/>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282</v>
      </c>
      <c r="C21" s="75"/>
      <c r="D21" s="75"/>
      <c r="E21" s="75"/>
      <c r="F21" s="76"/>
      <c r="G21" s="1"/>
    </row>
    <row r="22" spans="1:7" x14ac:dyDescent="0.25">
      <c r="A22" s="1"/>
      <c r="B22" s="77" t="s">
        <v>283</v>
      </c>
      <c r="C22" s="78"/>
      <c r="D22" s="79"/>
      <c r="E22" s="9">
        <v>66915608</v>
      </c>
      <c r="F22" s="14" t="s">
        <v>3</v>
      </c>
      <c r="G22" s="1"/>
    </row>
    <row r="23" spans="1:7" x14ac:dyDescent="0.25">
      <c r="A23" s="1"/>
      <c r="B23" s="77" t="s">
        <v>284</v>
      </c>
      <c r="C23" s="78"/>
      <c r="D23" s="79"/>
      <c r="E23" s="9">
        <v>50351149</v>
      </c>
      <c r="F23" s="14" t="s">
        <v>3</v>
      </c>
      <c r="G23" s="1"/>
    </row>
    <row r="24" spans="1:7" x14ac:dyDescent="0.25">
      <c r="A24" s="1"/>
      <c r="B24" s="77" t="s">
        <v>30</v>
      </c>
      <c r="C24" s="78"/>
      <c r="D24" s="79"/>
      <c r="E24" s="9">
        <v>0</v>
      </c>
      <c r="F24" s="14" t="s">
        <v>3</v>
      </c>
      <c r="G24" s="1"/>
    </row>
    <row r="25" spans="1:7" x14ac:dyDescent="0.25">
      <c r="A25" s="1"/>
      <c r="B25" s="81" t="s">
        <v>285</v>
      </c>
      <c r="C25" s="82"/>
      <c r="D25" s="83"/>
      <c r="E25" s="62">
        <f>E22-E23-E24</f>
        <v>16564459</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286</v>
      </c>
      <c r="C28" s="117"/>
      <c r="D28" s="117"/>
      <c r="E28" s="117"/>
      <c r="F28" s="118"/>
      <c r="G28" s="1"/>
    </row>
    <row r="29" spans="1:7" x14ac:dyDescent="0.25">
      <c r="A29" s="1"/>
      <c r="B29" s="131" t="s">
        <v>116</v>
      </c>
      <c r="C29" s="132"/>
      <c r="D29" s="133"/>
      <c r="E29" s="9">
        <f>IF(E18&lt;0,IF(E25&lt;0,SUM(E18,E25),IF(E10&gt;0,SUM(E10:E11),E18)),IF(AND(E25&lt;0,SUM(E25,E11)&lt;0),IF(E11&lt;0,E25,IF(SUM(E10:E11)&gt;0,SUM(E25,E11),IF(AND(E25&lt;0,E18=0,E11&gt;0),IF(SUM(E9:E11)&gt;0,E25+E11,E25)))),0))</f>
        <v>0</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0</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Ux4V+9/VT5lQLsArkpxiRGWfvewuvo1R1QpzqOLPPF/i8YmHkrcm4spFGtSiMYZYb/gIE2FMfpX+6H6/xFuW/A==" saltValue="RvpBTwP3tnzACaDi5jFgaw=="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cd/icoD9lDwWNa2aHE5xnqOcD+6fkM/+OfbdIRMLW3sZhDKq/n8yktVyt0Tn1lkKCaDA1F1Cgn1UGitp5pZ9Uw==" saltValue="gPrJL9gQhFsvVp+bytY4sQ=="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13" t="s">
        <v>82</v>
      </c>
      <c r="C10" s="114"/>
      <c r="D10" s="115"/>
      <c r="E10" s="7">
        <v>0</v>
      </c>
      <c r="F10" s="8" t="s">
        <v>3</v>
      </c>
      <c r="G10" s="1"/>
    </row>
    <row r="11" spans="1:7" x14ac:dyDescent="0.25">
      <c r="A11" s="1"/>
      <c r="B11" s="119" t="s">
        <v>229</v>
      </c>
      <c r="C11" s="120"/>
      <c r="D11" s="121"/>
      <c r="E11" s="7">
        <v>0</v>
      </c>
      <c r="F11" s="8" t="s">
        <v>3</v>
      </c>
      <c r="G11" s="1"/>
    </row>
    <row r="12" spans="1:7" x14ac:dyDescent="0.25">
      <c r="A12" s="1"/>
      <c r="B12" s="134" t="s">
        <v>83</v>
      </c>
      <c r="C12" s="135"/>
      <c r="D12" s="136"/>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0</v>
      </c>
      <c r="F14" s="8" t="s">
        <v>3</v>
      </c>
      <c r="G14" s="1"/>
    </row>
    <row r="15" spans="1:7" x14ac:dyDescent="0.25">
      <c r="A15" s="1"/>
      <c r="B15" s="113" t="s">
        <v>231</v>
      </c>
      <c r="C15" s="114"/>
      <c r="D15" s="115"/>
      <c r="E15" s="7">
        <v>0</v>
      </c>
      <c r="F15" s="8" t="s">
        <v>3</v>
      </c>
      <c r="G15" s="1"/>
    </row>
    <row r="16" spans="1:7" x14ac:dyDescent="0.25">
      <c r="A16" s="1"/>
      <c r="B16" s="134" t="s">
        <v>83</v>
      </c>
      <c r="C16" s="135"/>
      <c r="D16" s="136"/>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s484+76LvpvCMVdMNs4tXqyN/dRGlK+rGL81bk8M/ehT1DqY6u+9covJJpbjVxR1AGlyeOl+xHWzjqKfH2Mrw==" saltValue="2tefrEkTT4alCImD+bb4Y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264</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KxLyghXot/yLb7ESN9wVT4fkM0z3wXl8hHU1g2/Nocx8X4F8R1pV0PBf++nXJEc0L0JC5gsrZfFFq/KZBbSsBQ==" saltValue="QNNupqDdUmUAOpTYjbXRH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287</v>
      </c>
      <c r="C11" s="21">
        <v>11450</v>
      </c>
      <c r="D11" s="14" t="s">
        <v>3</v>
      </c>
      <c r="E11" s="9">
        <v>0</v>
      </c>
      <c r="F11" s="14" t="s">
        <v>3</v>
      </c>
      <c r="G11" s="1"/>
    </row>
    <row r="12" spans="1:7" x14ac:dyDescent="0.25">
      <c r="A12" s="1"/>
      <c r="B12" s="24" t="s">
        <v>288</v>
      </c>
      <c r="C12" s="21">
        <v>0</v>
      </c>
      <c r="D12" s="14" t="s">
        <v>3</v>
      </c>
      <c r="E12" s="9">
        <v>215076</v>
      </c>
      <c r="F12" s="14" t="s">
        <v>3</v>
      </c>
      <c r="G12" s="1"/>
    </row>
    <row r="13" spans="1:7" x14ac:dyDescent="0.25">
      <c r="A13" s="1"/>
      <c r="B13" s="24" t="s">
        <v>289</v>
      </c>
      <c r="C13" s="21">
        <v>0</v>
      </c>
      <c r="D13" s="14" t="s">
        <v>3</v>
      </c>
      <c r="E13" s="9">
        <v>149812</v>
      </c>
      <c r="F13" s="14" t="s">
        <v>3</v>
      </c>
      <c r="G13" s="1"/>
    </row>
    <row r="14" spans="1:7" x14ac:dyDescent="0.25">
      <c r="A14" s="1"/>
      <c r="B14" s="24" t="s">
        <v>290</v>
      </c>
      <c r="C14" s="21">
        <v>54537</v>
      </c>
      <c r="D14" s="14" t="s">
        <v>3</v>
      </c>
      <c r="E14" s="9">
        <v>0</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65987</v>
      </c>
      <c r="D19" s="13" t="s">
        <v>3</v>
      </c>
      <c r="E19" s="12">
        <f>SUM(E10:E18)</f>
        <v>364888</v>
      </c>
      <c r="F19" s="13" t="s">
        <v>3</v>
      </c>
      <c r="G19" s="1"/>
    </row>
    <row r="20" spans="1:7" x14ac:dyDescent="0.25">
      <c r="A20" s="1"/>
      <c r="B20" s="33" t="s">
        <v>233</v>
      </c>
      <c r="C20" s="12">
        <f>C19*(1+'Fane 15. Nøgletal'!C16)</f>
        <v>71318.749599999996</v>
      </c>
      <c r="D20" s="13" t="s">
        <v>3</v>
      </c>
      <c r="E20" s="12">
        <f>E19*(1+'Fane 15. Nøgletal'!C16)</f>
        <v>394370.95039999997</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mXi9/XOtMCAi/TsQgazMwyFYMXH+xhRbsFo8Umb9TbRHK6Avw5tzyq5LN03K24Sg6HQ/rPzwUo+cJEag4kd6g==" saltValue="S8SJWPxRFsuXAsECZvAEB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259</v>
      </c>
      <c r="C8" s="117"/>
      <c r="D8" s="117"/>
      <c r="E8" s="117"/>
      <c r="F8" s="118"/>
      <c r="G8" s="1"/>
    </row>
    <row r="9" spans="1:7" x14ac:dyDescent="0.25">
      <c r="A9" s="1"/>
      <c r="B9" s="85" t="s">
        <v>17</v>
      </c>
      <c r="C9" s="85" t="s">
        <v>11</v>
      </c>
      <c r="D9" s="86"/>
      <c r="E9" s="85" t="s">
        <v>28</v>
      </c>
      <c r="F9" s="32"/>
      <c r="G9" s="1"/>
    </row>
    <row r="10" spans="1:7" x14ac:dyDescent="0.25">
      <c r="A10" s="1"/>
      <c r="B10" s="24" t="s">
        <v>287</v>
      </c>
      <c r="C10" s="21">
        <v>20250</v>
      </c>
      <c r="D10" s="14" t="s">
        <v>3</v>
      </c>
      <c r="E10" s="9">
        <v>0</v>
      </c>
      <c r="F10" s="14" t="s">
        <v>3</v>
      </c>
      <c r="G10" s="1"/>
    </row>
    <row r="11" spans="1:7" x14ac:dyDescent="0.25">
      <c r="A11" s="1"/>
      <c r="B11" s="24" t="s">
        <v>291</v>
      </c>
      <c r="C11" s="21">
        <v>0</v>
      </c>
      <c r="D11" s="14" t="s">
        <v>3</v>
      </c>
      <c r="E11" s="9">
        <v>25127</v>
      </c>
      <c r="F11" s="14" t="s">
        <v>3</v>
      </c>
      <c r="G11" s="1"/>
    </row>
    <row r="12" spans="1:7" x14ac:dyDescent="0.25">
      <c r="A12" s="1"/>
      <c r="B12" s="24" t="s">
        <v>292</v>
      </c>
      <c r="C12" s="21">
        <v>177055</v>
      </c>
      <c r="D12" s="14" t="s">
        <v>3</v>
      </c>
      <c r="E12" s="9">
        <v>0</v>
      </c>
      <c r="F12" s="14" t="s">
        <v>3</v>
      </c>
      <c r="G12" s="1"/>
    </row>
    <row r="13" spans="1:7" x14ac:dyDescent="0.25">
      <c r="A13" s="1"/>
      <c r="B13" s="24" t="s">
        <v>293</v>
      </c>
      <c r="C13" s="21">
        <v>62071</v>
      </c>
      <c r="D13" s="14" t="s">
        <v>3</v>
      </c>
      <c r="E13" s="9">
        <v>0</v>
      </c>
      <c r="F13" s="14" t="s">
        <v>3</v>
      </c>
      <c r="G13" s="1"/>
    </row>
    <row r="14" spans="1:7" x14ac:dyDescent="0.25">
      <c r="A14" s="1"/>
      <c r="B14" s="24" t="s">
        <v>289</v>
      </c>
      <c r="C14" s="21">
        <v>0</v>
      </c>
      <c r="D14" s="14" t="s">
        <v>3</v>
      </c>
      <c r="E14" s="9">
        <v>44873</v>
      </c>
      <c r="F14" s="14" t="s">
        <v>3</v>
      </c>
      <c r="G14" s="1"/>
    </row>
    <row r="15" spans="1:7" x14ac:dyDescent="0.25">
      <c r="A15" s="1"/>
      <c r="B15" s="33" t="s">
        <v>294</v>
      </c>
      <c r="C15" s="12">
        <f>SUM(C10:C14)</f>
        <v>259376</v>
      </c>
      <c r="D15" s="13" t="s">
        <v>3</v>
      </c>
      <c r="E15" s="12">
        <f>SUM(E10:E14)</f>
        <v>70000</v>
      </c>
      <c r="F15" s="13" t="s">
        <v>3</v>
      </c>
      <c r="G15" s="1"/>
    </row>
    <row r="16" spans="1:7" x14ac:dyDescent="0.25">
      <c r="A16" s="1"/>
      <c r="B16" s="33" t="s">
        <v>234</v>
      </c>
      <c r="C16" s="12">
        <f>C15*(1+'Fane 15. Nøgletal'!C16)^2</f>
        <v>302984.53412863996</v>
      </c>
      <c r="D16" s="13" t="s">
        <v>3</v>
      </c>
      <c r="E16" s="12">
        <f>E15*(1+'Fane 15. Nøgletal'!C16)^2</f>
        <v>81769.004799999995</v>
      </c>
      <c r="F16" s="13" t="s">
        <v>3</v>
      </c>
      <c r="G16" s="1"/>
    </row>
    <row r="17" spans="1:7" x14ac:dyDescent="0.25">
      <c r="A17" s="1"/>
      <c r="B17" s="1"/>
      <c r="C17" s="1"/>
      <c r="D17" s="1"/>
      <c r="E17" s="1"/>
      <c r="F17" s="1"/>
      <c r="G17" s="1"/>
    </row>
    <row r="18" spans="1:7" x14ac:dyDescent="0.25">
      <c r="A18" s="1"/>
      <c r="B18" s="148"/>
      <c r="C18" s="148"/>
      <c r="D18" s="148"/>
      <c r="E18" s="148"/>
      <c r="F18" s="148"/>
      <c r="G18" s="1"/>
    </row>
    <row r="19" spans="1:7" x14ac:dyDescent="0.25">
      <c r="A19" s="1"/>
      <c r="B19" s="52"/>
      <c r="C19" s="52"/>
      <c r="D19" s="52"/>
      <c r="E19" s="52"/>
      <c r="F19" s="53"/>
      <c r="G19" s="1"/>
    </row>
    <row r="20" spans="1:7" x14ac:dyDescent="0.25">
      <c r="A20" s="1"/>
      <c r="B20" s="54"/>
      <c r="C20" s="55"/>
      <c r="D20" s="56"/>
      <c r="E20" s="57"/>
      <c r="F20" s="56"/>
      <c r="G20" s="1"/>
    </row>
    <row r="21" spans="1:7" x14ac:dyDescent="0.25">
      <c r="A21" s="1"/>
      <c r="B21" s="54"/>
      <c r="C21" s="55"/>
      <c r="D21" s="56"/>
      <c r="E21" s="57"/>
      <c r="F21" s="56"/>
      <c r="G21" s="1"/>
    </row>
    <row r="22" spans="1:7" x14ac:dyDescent="0.25">
      <c r="A22" s="1"/>
      <c r="B22" s="58"/>
      <c r="C22" s="59"/>
      <c r="D22" s="60"/>
      <c r="E22" s="59"/>
      <c r="F22" s="60"/>
      <c r="G22" s="1"/>
    </row>
    <row r="23" spans="1:7" x14ac:dyDescent="0.25">
      <c r="A23" s="1"/>
      <c r="B23" s="58"/>
      <c r="C23" s="59"/>
      <c r="D23" s="60"/>
      <c r="E23" s="59"/>
      <c r="F23" s="60"/>
      <c r="G23" s="1"/>
    </row>
    <row r="24" spans="1:7" x14ac:dyDescent="0.25">
      <c r="A24" s="1"/>
      <c r="B24" s="51"/>
      <c r="C24" s="51"/>
      <c r="D24" s="51"/>
      <c r="E24" s="51"/>
      <c r="F24" s="51"/>
      <c r="G24" s="1"/>
    </row>
    <row r="25" spans="1:7" x14ac:dyDescent="0.25">
      <c r="A25" s="1"/>
      <c r="B25" s="148"/>
      <c r="C25" s="148"/>
      <c r="D25" s="148"/>
      <c r="E25" s="148"/>
      <c r="F25" s="148"/>
      <c r="G25" s="1"/>
    </row>
    <row r="26" spans="1:7" x14ac:dyDescent="0.25">
      <c r="A26" s="1"/>
      <c r="B26" s="52"/>
      <c r="C26" s="52"/>
      <c r="D26" s="52"/>
      <c r="E26" s="52"/>
      <c r="F26" s="53"/>
      <c r="G26" s="1"/>
    </row>
    <row r="27" spans="1:7" x14ac:dyDescent="0.25">
      <c r="A27" s="1"/>
      <c r="B27" s="54"/>
      <c r="C27" s="55"/>
      <c r="D27" s="56"/>
      <c r="E27" s="57"/>
      <c r="F27" s="56"/>
      <c r="G27" s="1"/>
    </row>
    <row r="28" spans="1:7" x14ac:dyDescent="0.25">
      <c r="A28" s="1"/>
      <c r="B28" s="54"/>
      <c r="C28" s="55"/>
      <c r="D28" s="56"/>
      <c r="E28" s="57"/>
      <c r="F28" s="56"/>
      <c r="G28" s="1"/>
    </row>
    <row r="29" spans="1:7" x14ac:dyDescent="0.25">
      <c r="A29" s="1"/>
      <c r="B29" s="58"/>
      <c r="C29" s="59"/>
      <c r="D29" s="60"/>
      <c r="E29" s="59"/>
      <c r="F29" s="60"/>
      <c r="G29" s="1"/>
    </row>
    <row r="30" spans="1:7" x14ac:dyDescent="0.25">
      <c r="A30" s="1"/>
      <c r="B30" s="58"/>
      <c r="C30" s="59"/>
      <c r="D30" s="60"/>
      <c r="E30" s="59"/>
      <c r="F30" s="60"/>
      <c r="G30" s="1"/>
    </row>
    <row r="31" spans="1:7" x14ac:dyDescent="0.25">
      <c r="A31" s="1"/>
      <c r="B31" s="51"/>
      <c r="C31" s="51"/>
      <c r="D31" s="51"/>
      <c r="E31" s="51"/>
      <c r="F31" s="51"/>
      <c r="G31" s="1"/>
    </row>
    <row r="32" spans="1:7" x14ac:dyDescent="0.25">
      <c r="A32" s="1"/>
      <c r="B32" s="148"/>
      <c r="C32" s="148"/>
      <c r="D32" s="148"/>
      <c r="E32" s="148"/>
      <c r="F32" s="148"/>
      <c r="G32" s="1"/>
    </row>
    <row r="33" spans="1:7" x14ac:dyDescent="0.25">
      <c r="A33" s="1"/>
      <c r="B33" s="52"/>
      <c r="C33" s="52"/>
      <c r="D33" s="52"/>
      <c r="E33" s="52"/>
      <c r="F33" s="53"/>
      <c r="G33" s="1"/>
    </row>
    <row r="34" spans="1:7" x14ac:dyDescent="0.25">
      <c r="A34" s="1"/>
      <c r="B34" s="54"/>
      <c r="C34" s="55"/>
      <c r="D34" s="56"/>
      <c r="E34" s="57"/>
      <c r="F34" s="56"/>
      <c r="G34" s="1"/>
    </row>
    <row r="35" spans="1:7" x14ac:dyDescent="0.25">
      <c r="A35" s="1"/>
      <c r="B35" s="54"/>
      <c r="C35" s="55"/>
      <c r="D35" s="56"/>
      <c r="E35" s="57"/>
      <c r="F35" s="56"/>
      <c r="G35" s="1"/>
    </row>
    <row r="36" spans="1:7" x14ac:dyDescent="0.25">
      <c r="A36" s="1"/>
      <c r="B36" s="58"/>
      <c r="C36" s="59"/>
      <c r="D36" s="60"/>
      <c r="E36" s="59"/>
      <c r="F36" s="60"/>
      <c r="G36" s="1"/>
    </row>
    <row r="37" spans="1:7" x14ac:dyDescent="0.25">
      <c r="A37" s="1"/>
      <c r="B37" s="58"/>
      <c r="C37" s="59"/>
      <c r="D37" s="60"/>
      <c r="E37" s="59"/>
      <c r="F37" s="60"/>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qEMsmw1VbHll6zXpbUA2c4AhZkxCaRNqQ98RC3DdychyGiD50qj6uyuS9B9NdJUNZ79/OKfT4ynzmplEHHj4A==" saltValue="/3vZzbJIHdRdpTSiamwbBg==" spinCount="100000" sheet="1" objects="1" scenarios="1"/>
  <mergeCells count="5">
    <mergeCell ref="B32:F32"/>
    <mergeCell ref="B3:F4"/>
    <mergeCell ref="B8:F8"/>
    <mergeCell ref="B18:F18"/>
    <mergeCell ref="B25:F2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235</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235</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235</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236</v>
      </c>
      <c r="C27" s="117"/>
      <c r="D27" s="117"/>
      <c r="E27" s="117"/>
      <c r="F27" s="118"/>
      <c r="G27" s="1"/>
    </row>
    <row r="28" spans="1:7" ht="14.25" customHeight="1" x14ac:dyDescent="0.25">
      <c r="A28" s="1"/>
      <c r="B28" s="140" t="s">
        <v>235</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6" t="s">
        <v>237</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T3VlAf45rz4aHCP9ZdWQgP9awREv8CHldVVU5AMXVQz23tcUQX5UhgZJV4kk0gmYqktyZQCKhl+0jbCQhY0Q==" saltValue="/qOHE5rEkov5/6lm29FV3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1" t="s">
        <v>268</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238</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nYTOrzwRC7cW0hJ0x1VWiXRDg6X49YvhfJAvJg0uA5KsON6nnB+VDwkK3r7ewPXXatcL2BnKHBSw3kd2yfHNYA==" saltValue="V7DMtGyz9/VIiB8IHU51E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239</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71" t="s">
        <v>269</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240</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9hNJEL3h742F3X9A08bh63/JROkuykConiSMY64A6SFq0fi6mgFKOJcZ7tG27yuME/4c/TH4znvjgH8tjjbRA==" saltValue="rk3AeNvAlf/XAOzMuQiid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65696231.824212827</v>
      </c>
      <c r="D9" s="8" t="s">
        <v>3</v>
      </c>
      <c r="E9" s="1"/>
    </row>
    <row r="10" spans="1:5" ht="17.25" customHeight="1" x14ac:dyDescent="0.25">
      <c r="A10" s="1"/>
      <c r="B10" s="87" t="s">
        <v>36</v>
      </c>
      <c r="C10" s="7">
        <f>'Fane 11.1. Varige tillæg'!C20</f>
        <v>71318.749599999996</v>
      </c>
      <c r="D10" s="8" t="s">
        <v>3</v>
      </c>
      <c r="E10" s="1"/>
    </row>
    <row r="11" spans="1:5" ht="17.25" customHeight="1" x14ac:dyDescent="0.25">
      <c r="A11" s="1"/>
      <c r="B11" s="87" t="s">
        <v>37</v>
      </c>
      <c r="C11" s="9">
        <f>'Fane 11.1. Varige tillæg'!E20</f>
        <v>394370.95039999997</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5345883.2591563966</v>
      </c>
      <c r="D16" s="8" t="s">
        <v>3</v>
      </c>
      <c r="E16" s="1"/>
    </row>
    <row r="17" spans="1:5" ht="17.25" customHeight="1" x14ac:dyDescent="0.25">
      <c r="A17" s="1"/>
      <c r="B17" s="87" t="s">
        <v>10</v>
      </c>
      <c r="C17" s="41">
        <f>-SUM(C9,C10:C16)*'Fane 5. Individuelt eff. krav'!G9</f>
        <v>0</v>
      </c>
      <c r="D17" s="8" t="s">
        <v>3</v>
      </c>
      <c r="E17" s="1"/>
    </row>
    <row r="18" spans="1:5" ht="17.25" customHeight="1" x14ac:dyDescent="0.25">
      <c r="A18" s="1"/>
      <c r="B18" s="87" t="s">
        <v>23</v>
      </c>
      <c r="C18" s="41">
        <f>-'Fane 4.1. Gen. krav - drift'!G54</f>
        <v>-233682.13327774216</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71274122.650091484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449721.34949951997</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Engangstillæg'!C16</f>
        <v>302984.53412863996</v>
      </c>
      <c r="D26" s="8" t="s">
        <v>3</v>
      </c>
      <c r="E26" s="1"/>
    </row>
    <row r="27" spans="1:5" ht="15" customHeight="1" x14ac:dyDescent="0.25">
      <c r="A27" s="1"/>
      <c r="B27" s="87" t="s">
        <v>70</v>
      </c>
      <c r="C27" s="41">
        <f>'Fane 11.2. Engangstillæg'!E16</f>
        <v>81769.004799999995</v>
      </c>
      <c r="D27" s="8" t="s">
        <v>3</v>
      </c>
      <c r="E27" s="1"/>
    </row>
    <row r="28" spans="1:5" ht="15" customHeight="1" x14ac:dyDescent="0.25">
      <c r="A28" s="1"/>
      <c r="B28" s="87" t="s">
        <v>161</v>
      </c>
      <c r="C28" s="41">
        <f>-C26*('Fane 15. Nøgletal'!C33+'Fane 5. Individuelt eff. krav'!G9)</f>
        <v>-6059.6906825727992</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0" t="s">
        <v>75</v>
      </c>
      <c r="C30" s="10">
        <f>SUM(C26:C29)</f>
        <v>378693.84824606718</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72102537.847837076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EkuqnTqoKduqUP3fbFfS67muKlf3646uy2cWgVEwWec+xc9JKf5VWTQd/3I/Wrr6g80voj3EaigNlVweYJXhSg==" saltValue="mifKQF6UJn5/O/cZTs5p5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CtDl70CoUdQYlS+K521CRZPxucnzS80M+RkoDu/ftGlC9/27iXnZrU1LY/HFJ/H4y7aLW0wUJ+2Kdqx96Jai2w==" saltValue="d2OQpcY/Ml2/T56+7olBQ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71274122.650091484</v>
      </c>
      <c r="D9" s="8" t="s">
        <v>3</v>
      </c>
      <c r="E9" s="1"/>
    </row>
    <row r="10" spans="1:5" ht="15" customHeight="1" x14ac:dyDescent="0.25">
      <c r="A10" s="1"/>
      <c r="B10" s="26" t="s">
        <v>19</v>
      </c>
      <c r="C10" s="7">
        <f>SUM(C9:C9)*'Fane 15. Nøgletal'!C16</f>
        <v>5758949.1101273913</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-247512.37665365206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76785559.383565217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486058.8345390812</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77271618.218104303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HiPMajt7oPBE0Z+O/G7KfudRtp7rwXgtAGQv4fPscnux7c8YzCMCxM1nhN3K0RwJFqZtjxtLhBwSUTdA9p1RA==" saltValue="NRheMmmuvLfdeINXfGIn+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252</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76785559.383565217</v>
      </c>
      <c r="D9" s="8" t="s">
        <v>3</v>
      </c>
      <c r="E9" s="1"/>
    </row>
    <row r="10" spans="1:5" ht="15" customHeight="1" x14ac:dyDescent="0.25">
      <c r="A10" s="1"/>
      <c r="B10" s="26" t="s">
        <v>19</v>
      </c>
      <c r="C10" s="7">
        <f>SUM(C9:C9)*'Fane 15. Nøgletal'!C16</f>
        <v>6204273.1981920693</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-262161.14915352175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82727671.432603776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525332.38836983894</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83253003.82097362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V4xaovjZHN8AO98GsZHN+mASW+gYOPU0wA82Owm0UWjVtG7IUUGmfmRbFXeV1uIyVFmM6kANAmeqGMjTzeTg==" saltValue="EoB4oXneMFlcePTwAH+IV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252</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82727671.432603776</v>
      </c>
      <c r="D9" s="8" t="s">
        <v>3</v>
      </c>
      <c r="E9" s="1"/>
      <c r="F9" s="1"/>
    </row>
    <row r="10" spans="1:6" ht="15" customHeight="1" x14ac:dyDescent="0.25">
      <c r="A10" s="1"/>
      <c r="B10" s="26" t="s">
        <v>19</v>
      </c>
      <c r="C10" s="7">
        <f>SUM(C9:C9)*'Fane 15. Nøgletal'!C16</f>
        <v>6684395.851754385</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-277676.89460502384</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89134390.389753133</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567779.24535012187</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89702169.635103256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q3AW4vw8sK4KCl2qLmp01L7btpJGfEJCvoGXCkSev3D6sDXW5ih1vz/2d0QWkP5XpEfVrdEZR+IPf9AO1eEt4A==" saltValue="D6kvUgwmJDci1NnyLDXuH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253</v>
      </c>
      <c r="C8" s="28"/>
      <c r="D8" s="19"/>
      <c r="E8" s="1"/>
    </row>
    <row r="9" spans="1:5" x14ac:dyDescent="0.25">
      <c r="A9" s="1"/>
      <c r="B9" s="29" t="s">
        <v>254</v>
      </c>
      <c r="C9" s="7">
        <v>64805721.361813419</v>
      </c>
      <c r="D9" s="8" t="s">
        <v>3</v>
      </c>
      <c r="E9" s="1"/>
    </row>
    <row r="10" spans="1:5" x14ac:dyDescent="0.25">
      <c r="A10" s="1"/>
      <c r="B10" s="87" t="s">
        <v>36</v>
      </c>
      <c r="C10" s="7">
        <v>1895809.7484000002</v>
      </c>
      <c r="D10" s="8" t="s">
        <v>3</v>
      </c>
      <c r="E10" s="1"/>
    </row>
    <row r="11" spans="1:5" x14ac:dyDescent="0.25">
      <c r="A11" s="1"/>
      <c r="B11" s="87" t="s">
        <v>37</v>
      </c>
      <c r="C11" s="9">
        <v>259438.51200000002</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290585.71856422425</v>
      </c>
      <c r="D16" s="8" t="s">
        <v>3</v>
      </c>
      <c r="E16" s="1"/>
    </row>
    <row r="17" spans="1:5" x14ac:dyDescent="0.25">
      <c r="A17" s="1"/>
      <c r="B17" s="87" t="s">
        <v>10</v>
      </c>
      <c r="C17" s="41">
        <v>-478004.44990046427</v>
      </c>
      <c r="D17" s="8" t="s">
        <v>3</v>
      </c>
      <c r="E17" s="1"/>
    </row>
    <row r="18" spans="1:5" x14ac:dyDescent="0.25">
      <c r="A18" s="1"/>
      <c r="B18" s="87" t="s">
        <v>23</v>
      </c>
      <c r="C18" s="41">
        <v>-219169.19740704974</v>
      </c>
      <c r="D18" s="8" t="s">
        <v>3</v>
      </c>
      <c r="E18" s="1"/>
    </row>
    <row r="19" spans="1:5" x14ac:dyDescent="0.25">
      <c r="A19" s="1"/>
      <c r="B19" s="87" t="s">
        <v>24</v>
      </c>
      <c r="C19" s="41">
        <v>-858149.86925730656</v>
      </c>
      <c r="D19" s="8" t="s">
        <v>3</v>
      </c>
      <c r="E19" s="47"/>
    </row>
    <row r="20" spans="1:5" x14ac:dyDescent="0.25">
      <c r="A20" s="1"/>
      <c r="B20" s="81" t="s">
        <v>21</v>
      </c>
      <c r="C20" s="10">
        <v>65696231.824212827</v>
      </c>
      <c r="D20" s="11" t="s">
        <v>3</v>
      </c>
      <c r="E20" s="1"/>
    </row>
    <row r="21" spans="1:5" x14ac:dyDescent="0.25">
      <c r="A21" s="1"/>
      <c r="B21" s="33" t="s">
        <v>12</v>
      </c>
      <c r="C21" s="28"/>
      <c r="D21" s="19"/>
      <c r="E21" s="1"/>
    </row>
    <row r="22" spans="1:5" x14ac:dyDescent="0.25">
      <c r="A22" s="1"/>
      <c r="B22" s="31" t="s">
        <v>12</v>
      </c>
      <c r="C22" s="10">
        <v>852679.42724959995</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69">
        <v>58071.962609280003</v>
      </c>
      <c r="D26" s="8" t="s">
        <v>3</v>
      </c>
      <c r="E26" s="1"/>
    </row>
    <row r="27" spans="1:5" x14ac:dyDescent="0.25">
      <c r="A27" s="1"/>
      <c r="B27" s="87" t="s">
        <v>70</v>
      </c>
      <c r="C27" s="69">
        <v>0</v>
      </c>
      <c r="D27" s="8" t="s">
        <v>3</v>
      </c>
      <c r="E27" s="1"/>
    </row>
    <row r="28" spans="1:5" x14ac:dyDescent="0.25">
      <c r="A28" s="1"/>
      <c r="B28" s="87" t="s">
        <v>161</v>
      </c>
      <c r="C28" s="69">
        <v>-1574.1978330248137</v>
      </c>
      <c r="D28" s="8" t="s">
        <v>3</v>
      </c>
      <c r="E28" s="1"/>
    </row>
    <row r="29" spans="1:5" x14ac:dyDescent="0.25">
      <c r="A29" s="1"/>
      <c r="B29" s="87" t="s">
        <v>162</v>
      </c>
      <c r="C29" s="69">
        <v>0</v>
      </c>
      <c r="D29" s="8" t="s">
        <v>3</v>
      </c>
      <c r="E29" s="1"/>
    </row>
    <row r="30" spans="1:5" x14ac:dyDescent="0.25">
      <c r="A30" s="1"/>
      <c r="B30" s="70" t="s">
        <v>75</v>
      </c>
      <c r="C30" s="10">
        <v>56497.764776255186</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265</v>
      </c>
      <c r="C33" s="28"/>
      <c r="D33" s="19"/>
      <c r="E33" s="1"/>
    </row>
    <row r="34" spans="1:5" x14ac:dyDescent="0.25">
      <c r="A34" s="1"/>
      <c r="B34" s="31" t="s">
        <v>265</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266</v>
      </c>
      <c r="C37" s="49">
        <v>66605409.016238682</v>
      </c>
      <c r="D37" s="30" t="s">
        <v>3</v>
      </c>
      <c r="E37" s="1"/>
    </row>
    <row r="38" spans="1:5" ht="30" customHeight="1" x14ac:dyDescent="0.25">
      <c r="A38" s="1"/>
      <c r="B38" s="111" t="s">
        <v>267</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vbzJpjtm4wzy5TrN3M4d6ydMhcG9TSQ9v7wtWKebMFkyBxuxfqCT85XIPY/dfjGlM37pq3qYkInkLUYK+8My1w==" saltValue="eLeKbjE0z6+g98ql5msk/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6" t="s">
        <v>46</v>
      </c>
      <c r="C4" s="117"/>
      <c r="D4" s="117"/>
      <c r="E4" s="117"/>
      <c r="F4" s="117"/>
      <c r="G4" s="117"/>
      <c r="H4" s="118"/>
      <c r="I4" s="1"/>
    </row>
    <row r="5" spans="1:9" x14ac:dyDescent="0.25">
      <c r="A5" s="1"/>
      <c r="B5" s="119" t="s">
        <v>38</v>
      </c>
      <c r="C5" s="120"/>
      <c r="D5" s="120"/>
      <c r="E5" s="120"/>
      <c r="F5" s="121"/>
      <c r="G5" s="63">
        <v>9301418.9065017179</v>
      </c>
      <c r="H5" s="14" t="s">
        <v>3</v>
      </c>
      <c r="I5" s="1"/>
    </row>
    <row r="6" spans="1:9" x14ac:dyDescent="0.25">
      <c r="A6" s="1"/>
      <c r="B6" s="113" t="s">
        <v>102</v>
      </c>
      <c r="C6" s="114"/>
      <c r="D6" s="114"/>
      <c r="E6" s="114"/>
      <c r="F6" s="115"/>
      <c r="G6" s="66">
        <v>0</v>
      </c>
      <c r="H6" s="14" t="s">
        <v>3</v>
      </c>
      <c r="I6" s="1"/>
    </row>
    <row r="7" spans="1:9" x14ac:dyDescent="0.25">
      <c r="A7" s="1"/>
      <c r="B7" s="119" t="s">
        <v>39</v>
      </c>
      <c r="C7" s="120"/>
      <c r="D7" s="120"/>
      <c r="E7" s="120"/>
      <c r="F7" s="121"/>
      <c r="G7" s="23">
        <f>SUM(G5:G6)*'Fane 15. Nøgletal'!C33</f>
        <v>186028.37813003437</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9274909.8626181893</v>
      </c>
      <c r="H11" s="14" t="s">
        <v>3</v>
      </c>
      <c r="I11" s="1"/>
    </row>
    <row r="12" spans="1:9" ht="15" customHeight="1" x14ac:dyDescent="0.25">
      <c r="A12" s="1"/>
      <c r="B12" s="119" t="s">
        <v>103</v>
      </c>
      <c r="C12" s="120"/>
      <c r="D12" s="120"/>
      <c r="E12" s="120"/>
      <c r="F12" s="121"/>
      <c r="G12" s="66">
        <v>0</v>
      </c>
      <c r="H12" s="14" t="s">
        <v>3</v>
      </c>
      <c r="I12" s="1"/>
    </row>
    <row r="13" spans="1:9" x14ac:dyDescent="0.25">
      <c r="A13" s="1"/>
      <c r="B13" s="113" t="s">
        <v>100</v>
      </c>
      <c r="C13" s="114"/>
      <c r="D13" s="114"/>
      <c r="E13" s="114"/>
      <c r="F13" s="115"/>
      <c r="G13" s="66">
        <v>0</v>
      </c>
      <c r="H13" s="14" t="s">
        <v>3</v>
      </c>
      <c r="I13" s="1"/>
    </row>
    <row r="14" spans="1:9" x14ac:dyDescent="0.25">
      <c r="A14" s="1"/>
      <c r="B14" s="122" t="s">
        <v>243</v>
      </c>
      <c r="C14" s="123"/>
      <c r="D14" s="123"/>
      <c r="E14" s="123"/>
      <c r="F14" s="124"/>
      <c r="G14" s="66">
        <v>0</v>
      </c>
      <c r="H14" s="14" t="s">
        <v>3</v>
      </c>
      <c r="I14" s="1"/>
    </row>
    <row r="15" spans="1:9" x14ac:dyDescent="0.25">
      <c r="A15" s="1"/>
      <c r="B15" s="119" t="s">
        <v>41</v>
      </c>
      <c r="C15" s="120"/>
      <c r="D15" s="120"/>
      <c r="E15" s="120"/>
      <c r="F15" s="121"/>
      <c r="G15" s="23">
        <f>SUM(G11:G14)*'Fane 15. Nøgletal'!C33</f>
        <v>185498.19725236378</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9248476.3695097286</v>
      </c>
      <c r="H19" s="14" t="s">
        <v>3</v>
      </c>
      <c r="I19" s="1"/>
    </row>
    <row r="20" spans="1:9" x14ac:dyDescent="0.25">
      <c r="A20" s="1"/>
      <c r="B20" s="122" t="s">
        <v>244</v>
      </c>
      <c r="C20" s="123"/>
      <c r="D20" s="123"/>
      <c r="E20" s="123"/>
      <c r="F20" s="124"/>
      <c r="G20" s="66">
        <v>0</v>
      </c>
      <c r="H20" s="14" t="s">
        <v>3</v>
      </c>
      <c r="I20" s="1"/>
    </row>
    <row r="21" spans="1:9" x14ac:dyDescent="0.25">
      <c r="A21" s="1"/>
      <c r="B21" s="119" t="s">
        <v>43</v>
      </c>
      <c r="C21" s="120"/>
      <c r="D21" s="120"/>
      <c r="E21" s="120"/>
      <c r="F21" s="121"/>
      <c r="G21" s="23">
        <f>SUM(G19:G20)*'Fane 15. Nøgletal'!C33</f>
        <v>184969.52739019456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9242057.9269092884</v>
      </c>
      <c r="H25" s="14" t="s">
        <v>3</v>
      </c>
      <c r="I25" s="1"/>
    </row>
    <row r="26" spans="1:9" x14ac:dyDescent="0.25">
      <c r="A26" s="1"/>
      <c r="B26" s="122" t="s">
        <v>245</v>
      </c>
      <c r="C26" s="123"/>
      <c r="D26" s="123"/>
      <c r="E26" s="123"/>
      <c r="F26" s="124"/>
      <c r="G26" s="66">
        <v>0</v>
      </c>
      <c r="H26" s="14" t="s">
        <v>3</v>
      </c>
      <c r="I26" s="1"/>
    </row>
    <row r="27" spans="1:9" x14ac:dyDescent="0.25">
      <c r="A27" s="1"/>
      <c r="B27" s="119" t="s">
        <v>45</v>
      </c>
      <c r="C27" s="120"/>
      <c r="D27" s="120"/>
      <c r="E27" s="120"/>
      <c r="F27" s="121"/>
      <c r="G27" s="23">
        <f>(G25+G26)*'Fane 15. Nøgletal'!C33</f>
        <v>184841.15853818576</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9235643.9387080148</v>
      </c>
      <c r="H31" s="14" t="s">
        <v>3</v>
      </c>
      <c r="I31" s="1"/>
    </row>
    <row r="32" spans="1:9" x14ac:dyDescent="0.25">
      <c r="A32" s="1"/>
      <c r="B32" s="119" t="s">
        <v>242</v>
      </c>
      <c r="C32" s="120"/>
      <c r="D32" s="120"/>
      <c r="E32" s="120"/>
      <c r="F32" s="121"/>
      <c r="G32" s="63">
        <v>36263.906191800001</v>
      </c>
      <c r="H32" s="14" t="s">
        <v>3</v>
      </c>
      <c r="I32" s="1"/>
    </row>
    <row r="33" spans="1:9" x14ac:dyDescent="0.25">
      <c r="A33" s="1"/>
      <c r="B33" s="119" t="s">
        <v>54</v>
      </c>
      <c r="C33" s="120"/>
      <c r="D33" s="120"/>
      <c r="E33" s="120"/>
      <c r="F33" s="121"/>
      <c r="G33" s="23">
        <f>(G31+G32)*'Fane 15. Nøgletal'!C33</f>
        <v>185438.15689799629</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9116455.0379722249</v>
      </c>
      <c r="H37" s="14" t="s">
        <v>3</v>
      </c>
      <c r="I37" s="1"/>
    </row>
    <row r="38" spans="1:9" x14ac:dyDescent="0.25">
      <c r="A38" s="1"/>
      <c r="B38" s="119" t="s">
        <v>241</v>
      </c>
      <c r="C38" s="120"/>
      <c r="D38" s="120"/>
      <c r="E38" s="120"/>
      <c r="F38" s="121"/>
      <c r="G38" s="63">
        <v>32088.741951420005</v>
      </c>
      <c r="H38" s="14" t="s">
        <v>3</v>
      </c>
      <c r="I38" s="1"/>
    </row>
    <row r="39" spans="1:9" x14ac:dyDescent="0.25">
      <c r="A39" s="1"/>
      <c r="B39" s="119" t="s">
        <v>128</v>
      </c>
      <c r="C39" s="120"/>
      <c r="D39" s="120"/>
      <c r="E39" s="120"/>
      <c r="F39" s="121"/>
      <c r="G39" s="23">
        <f>(G37+G38)*'Fane 15. Nøgletal'!C33</f>
        <v>182970.87559847292</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8995159.2949094456</v>
      </c>
      <c r="H43" s="14" t="s">
        <v>3</v>
      </c>
      <c r="I43" s="1"/>
    </row>
    <row r="44" spans="1:9" x14ac:dyDescent="0.25">
      <c r="A44" s="1"/>
      <c r="B44" s="125" t="s">
        <v>157</v>
      </c>
      <c r="C44" s="126"/>
      <c r="D44" s="126"/>
      <c r="E44" s="126"/>
      <c r="F44" s="127"/>
      <c r="G44" s="45">
        <v>1963300.5754430403</v>
      </c>
      <c r="H44" s="14" t="s">
        <v>3</v>
      </c>
      <c r="I44" s="1"/>
    </row>
    <row r="45" spans="1:9" x14ac:dyDescent="0.25">
      <c r="A45" s="1"/>
      <c r="B45" s="119" t="s">
        <v>129</v>
      </c>
      <c r="C45" s="120"/>
      <c r="D45" s="120"/>
      <c r="E45" s="120"/>
      <c r="F45" s="121"/>
      <c r="G45" s="23">
        <f>SUM(G43:G44)*'Fane 15. Nøgletal'!C33</f>
        <v>219169.19740704974</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11607025.359319428</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77081.304567679996</v>
      </c>
      <c r="H53" s="14" t="s">
        <v>3</v>
      </c>
      <c r="I53" s="1"/>
    </row>
    <row r="54" spans="1:9" x14ac:dyDescent="0.25">
      <c r="A54" s="1"/>
      <c r="B54" s="119" t="s">
        <v>210</v>
      </c>
      <c r="C54" s="120"/>
      <c r="D54" s="120"/>
      <c r="E54" s="120"/>
      <c r="F54" s="121"/>
      <c r="G54" s="23">
        <f>(G52)*'Fane 15. Nøgletal'!C33+(G53)*'Fane 15. Nøgletal'!C33</f>
        <v>233682.13327774216</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77" t="s">
        <v>212</v>
      </c>
      <c r="C58" s="78"/>
      <c r="D58" s="78"/>
      <c r="E58" s="78"/>
      <c r="F58" s="79"/>
      <c r="G58" s="23">
        <f>(G52+G53-G54)*(1+'Fane 15. Nøgletal'!C16)</f>
        <v>12375618.832682602</v>
      </c>
      <c r="H58" s="14" t="s">
        <v>3</v>
      </c>
      <c r="I58" s="1"/>
    </row>
    <row r="59" spans="1:9" x14ac:dyDescent="0.25">
      <c r="A59" s="1"/>
      <c r="B59" s="77" t="s">
        <v>211</v>
      </c>
      <c r="C59" s="78"/>
      <c r="D59" s="78"/>
      <c r="E59" s="78"/>
      <c r="F59" s="79"/>
      <c r="G59" s="23">
        <f>(G58)*'Fane 15. Nøgletal'!C33</f>
        <v>247512.37665365206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255</v>
      </c>
      <c r="C62" s="117"/>
      <c r="D62" s="117"/>
      <c r="E62" s="117"/>
      <c r="F62" s="117"/>
      <c r="G62" s="117"/>
      <c r="H62" s="118"/>
      <c r="I62" s="1"/>
    </row>
    <row r="63" spans="1:9" x14ac:dyDescent="0.25">
      <c r="A63" s="1"/>
      <c r="B63" s="77" t="s">
        <v>213</v>
      </c>
      <c r="C63" s="78"/>
      <c r="D63" s="78"/>
      <c r="E63" s="78"/>
      <c r="F63" s="79"/>
      <c r="G63" s="23">
        <f>(G58-G59)*(1+'Fane 15. Nøgletal'!C16)</f>
        <v>13108057.457676088</v>
      </c>
      <c r="H63" s="14" t="s">
        <v>3</v>
      </c>
      <c r="I63" s="1"/>
    </row>
    <row r="64" spans="1:9" x14ac:dyDescent="0.25">
      <c r="A64" s="1"/>
      <c r="B64" s="77" t="s">
        <v>214</v>
      </c>
      <c r="C64" s="78"/>
      <c r="D64" s="78"/>
      <c r="E64" s="78"/>
      <c r="F64" s="79"/>
      <c r="G64" s="23">
        <f>(G63)*'Fane 15. Nøgletal'!C33</f>
        <v>262161.14915352175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256</v>
      </c>
      <c r="C67" s="117"/>
      <c r="D67" s="117"/>
      <c r="E67" s="117"/>
      <c r="F67" s="117"/>
      <c r="G67" s="117"/>
      <c r="H67" s="118"/>
      <c r="I67" s="1"/>
    </row>
    <row r="68" spans="1:9" x14ac:dyDescent="0.25">
      <c r="A68" s="1"/>
      <c r="B68" s="77" t="s">
        <v>213</v>
      </c>
      <c r="C68" s="78"/>
      <c r="D68" s="78"/>
      <c r="E68" s="78"/>
      <c r="F68" s="79"/>
      <c r="G68" s="23">
        <f>(G63-G64)*(1+'Fane 15. Nøgletal'!C16)</f>
        <v>13883844.730251191</v>
      </c>
      <c r="H68" s="14" t="s">
        <v>3</v>
      </c>
      <c r="I68" s="1"/>
    </row>
    <row r="69" spans="1:9" x14ac:dyDescent="0.25">
      <c r="A69" s="1"/>
      <c r="B69" s="77" t="s">
        <v>214</v>
      </c>
      <c r="C69" s="78"/>
      <c r="D69" s="78"/>
      <c r="E69" s="78"/>
      <c r="F69" s="79"/>
      <c r="G69" s="23">
        <f>(G68)*'Fane 15. Nøgletal'!C33</f>
        <v>277676.89460502384</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t8l7rR0jO+xKk3nz6nA8N64utkl/xuP8CjQ6vpZZtq9ZYPJqnZ78+9YRicgurkS0YO5iHBZrfYn7UjB2FJzS2w==" saltValue="8yWTgBM7lRAMkzF0qbbA1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63">
        <v>57697335.771467738</v>
      </c>
      <c r="H5" s="14" t="s">
        <v>3</v>
      </c>
      <c r="I5" s="1"/>
    </row>
    <row r="6" spans="1:9" x14ac:dyDescent="0.25">
      <c r="A6" s="1"/>
      <c r="B6" s="119" t="s">
        <v>51</v>
      </c>
      <c r="C6" s="120"/>
      <c r="D6" s="120"/>
      <c r="E6" s="120"/>
      <c r="F6" s="121"/>
      <c r="G6" s="23">
        <f>G5*'Fane 15. Nøgletal'!C21</f>
        <v>525045.75552035647</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58172805.091226466</v>
      </c>
      <c r="H10" s="14" t="s">
        <v>3</v>
      </c>
      <c r="I10" s="1"/>
    </row>
    <row r="11" spans="1:9" x14ac:dyDescent="0.25">
      <c r="A11" s="1"/>
      <c r="B11" s="119" t="s">
        <v>104</v>
      </c>
      <c r="C11" s="120"/>
      <c r="D11" s="120"/>
      <c r="E11" s="120"/>
      <c r="F11" s="121"/>
      <c r="G11" s="63">
        <v>874571.03581609926</v>
      </c>
      <c r="H11" s="14" t="s">
        <v>3</v>
      </c>
      <c r="I11" s="1"/>
    </row>
    <row r="12" spans="1:9" x14ac:dyDescent="0.25">
      <c r="A12" s="1"/>
      <c r="B12" s="122" t="s">
        <v>246</v>
      </c>
      <c r="C12" s="123"/>
      <c r="D12" s="123"/>
      <c r="E12" s="123"/>
      <c r="F12" s="124"/>
      <c r="G12" s="66">
        <v>0</v>
      </c>
      <c r="H12" s="14" t="s">
        <v>3</v>
      </c>
      <c r="I12" s="1"/>
    </row>
    <row r="13" spans="1:9" x14ac:dyDescent="0.25">
      <c r="A13" s="1"/>
      <c r="B13" s="119" t="s">
        <v>58</v>
      </c>
      <c r="C13" s="120"/>
      <c r="D13" s="120"/>
      <c r="E13" s="120"/>
      <c r="F13" s="121"/>
      <c r="G13" s="23">
        <f>SUM(G10:G12)*'Fane 15. Nøgletal'!C22</f>
        <v>1045138.5574486534</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59017276.727061801</v>
      </c>
      <c r="H17" s="14" t="s">
        <v>3</v>
      </c>
      <c r="I17" s="1"/>
    </row>
    <row r="18" spans="1:9" x14ac:dyDescent="0.25">
      <c r="A18" s="1"/>
      <c r="B18" s="122" t="s">
        <v>247</v>
      </c>
      <c r="C18" s="123"/>
      <c r="D18" s="123"/>
      <c r="E18" s="123"/>
      <c r="F18" s="124"/>
      <c r="G18" s="63">
        <v>230687.95422123995</v>
      </c>
      <c r="H18" s="14" t="s">
        <v>3</v>
      </c>
      <c r="I18" s="1"/>
    </row>
    <row r="19" spans="1:9" x14ac:dyDescent="0.25">
      <c r="A19" s="1"/>
      <c r="B19" s="119" t="s">
        <v>61</v>
      </c>
      <c r="C19" s="120"/>
      <c r="D19" s="120"/>
      <c r="E19" s="120"/>
      <c r="F19" s="121"/>
      <c r="G19" s="23">
        <f>G17*'Fane 15. Nøgletal'!C22+G18*'Fane 15. Nøgletal'!C23</f>
        <v>1046612.7832707186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59347918.530403174</v>
      </c>
      <c r="H23" s="14" t="s">
        <v>3</v>
      </c>
      <c r="I23" s="1"/>
    </row>
    <row r="24" spans="1:9" x14ac:dyDescent="0.25">
      <c r="A24" s="1"/>
      <c r="B24" s="122" t="s">
        <v>248</v>
      </c>
      <c r="C24" s="123"/>
      <c r="D24" s="123"/>
      <c r="E24" s="123"/>
      <c r="F24" s="124"/>
      <c r="G24" s="63">
        <v>735697.90392714017</v>
      </c>
      <c r="H24" s="14" t="s">
        <v>3</v>
      </c>
      <c r="I24" s="1"/>
    </row>
    <row r="25" spans="1:9" x14ac:dyDescent="0.25">
      <c r="A25" s="1"/>
      <c r="B25" s="119" t="s">
        <v>64</v>
      </c>
      <c r="C25" s="120"/>
      <c r="D25" s="120"/>
      <c r="E25" s="120"/>
      <c r="F25" s="121"/>
      <c r="G25" s="23">
        <f>(G23+G24)*'Fane 15. Nøgletal'!C24</f>
        <v>1706374.7067349809</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59527273.389628969</v>
      </c>
      <c r="H29" s="14" t="s">
        <v>3</v>
      </c>
      <c r="I29" s="1"/>
    </row>
    <row r="30" spans="1:9" x14ac:dyDescent="0.25">
      <c r="A30" s="1"/>
      <c r="B30" s="119" t="s">
        <v>249</v>
      </c>
      <c r="C30" s="120"/>
      <c r="D30" s="120"/>
      <c r="E30" s="120"/>
      <c r="F30" s="121"/>
      <c r="G30" s="63">
        <v>129925.08749808</v>
      </c>
      <c r="H30" s="14" t="s">
        <v>3</v>
      </c>
      <c r="I30" s="1"/>
    </row>
    <row r="31" spans="1:9" x14ac:dyDescent="0.25">
      <c r="A31" s="1"/>
      <c r="B31" s="119" t="s">
        <v>67</v>
      </c>
      <c r="C31" s="120"/>
      <c r="D31" s="120"/>
      <c r="E31" s="120"/>
      <c r="F31" s="121"/>
      <c r="G31" s="23">
        <f>G29*'Fane 15. Nøgletal'!C24+G30*'Fane 15. Nøgletal'!C25</f>
        <v>1694147.5041716599</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58154329.041166149</v>
      </c>
      <c r="H35" s="14" t="s">
        <v>3</v>
      </c>
      <c r="I35" s="1"/>
    </row>
    <row r="36" spans="1:9" x14ac:dyDescent="0.25">
      <c r="A36" s="1"/>
      <c r="B36" s="119" t="s">
        <v>250</v>
      </c>
      <c r="C36" s="120"/>
      <c r="D36" s="120"/>
      <c r="E36" s="120"/>
      <c r="F36" s="121"/>
      <c r="G36" s="63">
        <v>506231.66285723011</v>
      </c>
      <c r="H36" s="14" t="s">
        <v>3</v>
      </c>
      <c r="I36" s="1"/>
    </row>
    <row r="37" spans="1:9" x14ac:dyDescent="0.25">
      <c r="A37" s="1"/>
      <c r="B37" s="119" t="s">
        <v>131</v>
      </c>
      <c r="C37" s="120"/>
      <c r="D37" s="120"/>
      <c r="E37" s="120"/>
      <c r="F37" s="121"/>
      <c r="G37" s="23">
        <f>(G35+G36)*'Fane 15. Nøgletal'!C26</f>
        <v>868176.29841954599</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57983099.274142332</v>
      </c>
      <c r="H41" s="14" t="s">
        <v>3</v>
      </c>
      <c r="I41" s="1"/>
    </row>
    <row r="42" spans="1:9" x14ac:dyDescent="0.25">
      <c r="A42" s="1"/>
      <c r="B42" s="40" t="s">
        <v>156</v>
      </c>
      <c r="C42" s="78"/>
      <c r="D42" s="78"/>
      <c r="E42" s="78"/>
      <c r="F42" s="79"/>
      <c r="G42" s="23">
        <v>268674.52302720002</v>
      </c>
      <c r="H42" s="14" t="s">
        <v>3</v>
      </c>
      <c r="I42" s="1"/>
    </row>
    <row r="43" spans="1:9" x14ac:dyDescent="0.25">
      <c r="A43" s="1"/>
      <c r="B43" s="119" t="s">
        <v>132</v>
      </c>
      <c r="C43" s="120"/>
      <c r="D43" s="120"/>
      <c r="E43" s="120"/>
      <c r="F43" s="121"/>
      <c r="G43" s="23">
        <f>(G41)*'Fane 15. Nøgletal'!C26+G42*'Fane 15. Nøgletal'!C27</f>
        <v>858149.86925730656</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258</v>
      </c>
      <c r="C52" s="117"/>
      <c r="D52" s="117"/>
      <c r="E52" s="117"/>
      <c r="F52" s="117"/>
      <c r="G52" s="117"/>
      <c r="H52" s="118"/>
      <c r="I52" s="1"/>
    </row>
    <row r="53" spans="1:9" x14ac:dyDescent="0.25">
      <c r="A53" s="1"/>
      <c r="B53" s="119" t="s">
        <v>217</v>
      </c>
      <c r="C53" s="120"/>
      <c r="D53" s="120"/>
      <c r="E53" s="120"/>
      <c r="F53" s="121"/>
      <c r="G53" s="23">
        <f>(G41+G42-G43)*(1+'Fane 15. Nøgletal'!C16)</f>
        <v>62031028.741287529</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426236.12319231994</v>
      </c>
      <c r="H54" s="14" t="s">
        <v>3</v>
      </c>
      <c r="I54" s="1"/>
    </row>
    <row r="55" spans="1:9" x14ac:dyDescent="0.25">
      <c r="A55" s="1"/>
      <c r="B55" s="119" t="s">
        <v>218</v>
      </c>
      <c r="C55" s="120"/>
      <c r="D55" s="120"/>
      <c r="E55" s="120"/>
      <c r="F55" s="121"/>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257</v>
      </c>
      <c r="C58" s="117"/>
      <c r="D58" s="117"/>
      <c r="E58" s="117"/>
      <c r="F58" s="117"/>
      <c r="G58" s="117"/>
      <c r="H58" s="118"/>
      <c r="I58" s="1"/>
    </row>
    <row r="59" spans="1:9" x14ac:dyDescent="0.25">
      <c r="A59" s="1"/>
      <c r="B59" s="119" t="s">
        <v>219</v>
      </c>
      <c r="C59" s="120"/>
      <c r="D59" s="120"/>
      <c r="E59" s="120"/>
      <c r="F59" s="121"/>
      <c r="G59" s="23">
        <f>(G53+G54-G55)*(1+'Fane 15. Nøgletal'!C16)</f>
        <v>67503811.86552982</v>
      </c>
      <c r="H59" s="14" t="s">
        <v>3</v>
      </c>
      <c r="I59" s="1"/>
    </row>
    <row r="60" spans="1:9" x14ac:dyDescent="0.25">
      <c r="A60" s="1"/>
      <c r="B60" s="119" t="s">
        <v>220</v>
      </c>
      <c r="C60" s="120"/>
      <c r="D60" s="120"/>
      <c r="E60" s="120"/>
      <c r="F60" s="121"/>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72958119.864264622</v>
      </c>
      <c r="H64" s="14" t="s">
        <v>3</v>
      </c>
      <c r="I64" s="1"/>
    </row>
    <row r="65" spans="1:9" x14ac:dyDescent="0.25">
      <c r="A65" s="1"/>
      <c r="B65" s="119" t="s">
        <v>222</v>
      </c>
      <c r="C65" s="120"/>
      <c r="D65" s="120"/>
      <c r="E65" s="120"/>
      <c r="F65" s="121"/>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78853135.949297205</v>
      </c>
      <c r="H69" s="14" t="s">
        <v>3</v>
      </c>
      <c r="I69" s="1"/>
    </row>
    <row r="70" spans="1:9" x14ac:dyDescent="0.25">
      <c r="A70" s="1"/>
      <c r="B70" s="119" t="s">
        <v>222</v>
      </c>
      <c r="C70" s="120"/>
      <c r="D70" s="120"/>
      <c r="E70" s="120"/>
      <c r="F70" s="121"/>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D0WQGs4xhDydk43GSpZnz23X3tJZwmlpDNn0OpMfZZEX5bkwMFFO5AN1MnJpr1KGIwObOlUaQJGxT333v0v9uw==" saltValue="w+SbNCGsJ25dGUJYsRit5Q=="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270</v>
      </c>
      <c r="C9" s="120"/>
      <c r="D9" s="120"/>
      <c r="E9" s="120"/>
      <c r="F9" s="121"/>
      <c r="G9" s="22">
        <v>0</v>
      </c>
      <c r="H9" s="1"/>
    </row>
    <row r="10" spans="1:8" x14ac:dyDescent="0.25">
      <c r="A10" s="1"/>
      <c r="B10" s="33"/>
      <c r="C10" s="28"/>
      <c r="D10" s="28"/>
      <c r="E10" s="28"/>
      <c r="F10" s="28"/>
      <c r="G10" s="19"/>
      <c r="H10" s="1"/>
    </row>
    <row r="11" spans="1:8" ht="33" customHeight="1" x14ac:dyDescent="0.25">
      <c r="A11" s="1"/>
      <c r="B11" s="130" t="s">
        <v>263</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idofhtCVD0XvNbHwSWqsYhC/fJLAPe5X36jrXfc9wZPa1dc51eqOYQ3rrujnHSTrmFt8AtQa/wggvzYa1P1tsg==" saltValue="qHNJZHbkmqFqml185CA22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2023-09-12T07:35:48Z</dcterms:modified>
</cp:coreProperties>
</file>