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Lolland Vand AS (V125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1" i="11" l="1"/>
  <c r="E12" i="11"/>
  <c r="E13" i="11"/>
  <c r="E14" i="11"/>
  <c r="E15" i="11"/>
  <c r="C15" i="19" l="1"/>
  <c r="E31" i="32" l="1"/>
  <c r="E16" i="27" l="1"/>
  <c r="E16" i="11" l="1"/>
  <c r="E17" i="11"/>
  <c r="E10" i="11"/>
  <c r="E15" i="32" l="1"/>
  <c r="E7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6" i="2" s="1"/>
  <c r="C30" i="39"/>
  <c r="C19" i="22" s="1"/>
  <c r="E22" i="39"/>
  <c r="C21" i="15" s="1"/>
  <c r="E30" i="39"/>
  <c r="C20" i="22" s="1"/>
  <c r="C22" i="39"/>
  <c r="C20" i="15" s="1"/>
  <c r="C14" i="39"/>
  <c r="C25" i="2" s="1"/>
  <c r="C21" i="22" l="1"/>
  <c r="C21" i="23"/>
  <c r="C22" i="15"/>
  <c r="C27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3" i="32"/>
  <c r="E37" i="32" s="1"/>
  <c r="E39" i="32" s="1"/>
  <c r="C24" i="15" l="1"/>
  <c r="C29" i="2"/>
  <c r="F18" i="11"/>
  <c r="C10" i="37" s="1"/>
  <c r="C12" i="37" s="1"/>
  <c r="G18" i="11"/>
  <c r="C13" i="37" l="1"/>
  <c r="C11" i="2" s="1"/>
  <c r="E11" i="21"/>
  <c r="E12" i="21" s="1"/>
  <c r="C11" i="21"/>
  <c r="C12" i="21" s="1"/>
  <c r="E11" i="29"/>
  <c r="E12" i="29" s="1"/>
  <c r="C11" i="29"/>
  <c r="C12" i="29" s="1"/>
  <c r="C16" i="19"/>
  <c r="C17" i="23" l="1"/>
  <c r="C17" i="22"/>
  <c r="C18" i="15"/>
  <c r="C15" i="2"/>
  <c r="C16" i="2"/>
  <c r="C23" i="2"/>
  <c r="C14" i="2"/>
  <c r="C13" i="2"/>
  <c r="G30" i="30" l="1"/>
  <c r="G29" i="30" l="1"/>
  <c r="E18" i="27"/>
  <c r="G31" i="30" l="1"/>
  <c r="E18" i="11"/>
  <c r="E10" i="37" s="1"/>
  <c r="E12" i="37" s="1"/>
  <c r="G35" i="30" l="1"/>
  <c r="G37" i="30" s="1"/>
  <c r="C19" i="2"/>
  <c r="E13" i="37"/>
  <c r="C12" i="2" s="1"/>
  <c r="G30" i="36" s="1"/>
  <c r="G41" i="30" l="1"/>
  <c r="G43" i="30" s="1"/>
  <c r="C14" i="15"/>
  <c r="G31" i="36"/>
  <c r="C20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7" i="2"/>
  <c r="C18" i="2" l="1"/>
  <c r="C21" i="2" l="1"/>
  <c r="C9" i="15" s="1"/>
  <c r="C12" i="15" s="1"/>
  <c r="C13" i="15" s="1"/>
  <c r="C16" i="15" s="1"/>
  <c r="C25" i="15" s="1"/>
  <c r="C32" i="2" l="1"/>
  <c r="C8" i="22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<sst xmlns="http://schemas.openxmlformats.org/spreadsheetml/2006/main" count="618" uniqueCount="257">
  <si>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</si>
  <si>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</si>
  <si>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</si>
  <si>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</si>
  <si>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</si>
  <si>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</si>
  <si>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</si>
  <si>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</si>
  <si>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</si>
  <si>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</si>
  <si>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</si>
  <si>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</si>
  <si>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</si>
  <si>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</si>
  <si>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</si>
  <si>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</si>
  <si>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</si>
  <si>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</si>
  <si>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</si>
  <si>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</si>
  <si>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</si>
  <si>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</si>
  <si>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</si>
  <si>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</si>
  <si>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</si>
  <si>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</si>
  <si>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</si>
  <si>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</si>
  <si>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</si>
  <si>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</si>
  <si>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</si>
  <si>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</si>
  <si>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</si>
  <si>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</si>
  <si>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</si>
  <si>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</si>
  <si>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</si>
  <si>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</si>
  <si>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</si>
  <si>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</si>
  <si>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</si>
  <si>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</si>
  <si>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</si>
  <si>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</si>
  <si>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</si>
  <si>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</si>
  <si>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</si>
  <si>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</si>
  <si>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</si>
  <si>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</si>
  <si>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</si>
  <si>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</si>
  <si>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</si>
  <si>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</si>
  <si>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</si>
  <si>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</si>
  <si>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</si>
  <si>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</si>
  <si>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</si>
  <si>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</si>
  <si>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</si>
  <si>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</si>
  <si>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</si>
  <si>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</si>
  <si>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</si>
  <si>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</si>
  <si>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</si>
  <si>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</si>
  <si>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</si>
  <si>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</si>
  <si>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</si>
  <si>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</si>
  <si>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</si>
  <si>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</si>
  <si>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</si>
  <si>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</si>
  <si>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</si>
  <si>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</si>
  <si>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</si>
  <si>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</si>
  <si>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</si>
  <si>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</si>
  <si>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</si>
  <si>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</si>
  <si>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</si>
  <si>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</si>
  <si>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</si>
  <si>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</si>
  <si>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</si>
  <si>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</si>
  <si>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</si>
  <si>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</si>
  <si>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</si>
  <si>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</si>
  <si>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</si>
  <si>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</si>
  <si>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</si>
  <si>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</si>
  <si>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</si>
  <si>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</si>
  <si>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</si>
  <si>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</si>
  <si>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</si>
  <si>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</si>
  <si>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</si>
  <si>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</si>
  <si>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</si>
  <si>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</si>
  <si>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</si>
  <si>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</si>
  <si>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</si>
  <si>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</si>
  <si>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</si>
  <si>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</si>
  <si>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</si>
  <si>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</si>
  <si>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</si>
  <si>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</si>
  <si>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</si>
  <si>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</si>
  <si>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</si>
  <si>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</si>
  <si>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</si>
  <si>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</si>
  <si>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</si>
  <si>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</si>
  <si>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</si>
  <si>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</si>
  <si>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</si>
  <si>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</si>
  <si>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</si>
  <si>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</si>
  <si>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</si>
  <si>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</si>
  <si>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</si>
  <si>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</si>
  <si>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</si>
  <si>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</si>
  <si>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</si>
  <si>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</si>
  <si>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</si>
  <si>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</si>
  <si>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</si>
  <si>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</si>
  <si>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</si>
  <si>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</si>
  <si>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</si>
  <si>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</si>
  <si>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</si>
  <si>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</si>
  <si>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</si>
  <si>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</si>
  <si>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</si>
  <si>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</si>
  <si>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</si>
  <si>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</si>
  <si>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</si>
  <si>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</si>
  <si>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</si>
  <si>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</si>
  <si>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</si>
  <si>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</si>
  <si>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</si>
  <si>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</si>
  <si>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</si>
  <si>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</si>
  <si>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</si>
  <si>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</si>
  <si>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</si>
  <si>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</si>
  <si>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</si>
  <si>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</si>
  <si>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</si>
  <si>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</si>
  <si>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</si>
  <si>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</si>
  <si>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</si>
  <si>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</si>
  <si>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</si>
  <si>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</si>
  <si>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</si>
  <si>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</si>
  <si>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</si>
  <si>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</si>
  <si>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</si>
  <si>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</si>
  <si>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</si>
  <si>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</si>
  <si>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</si>
  <si>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</si>
  <si>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</si>
  <si>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</si>
  <si>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</si>
  <si>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</si>
  <si>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</si>
  <si>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</si>
  <si>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</si>
  <si>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</si>
  <si>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</si>
  <si>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</si>
  <si>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</si>
  <si>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</si>
  <si>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</si>
  <si>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</si>
  <si>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</si>
  <si>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</si>
  <si>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</si>
  <si>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</si>
  <si>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</si>
  <si>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</si>
  <si>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</si>
  <si>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</si>
  <si>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</si>
  <si>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</si>
  <si>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</si>
  <si>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</si>
  <si>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</si>
  <si>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</si>
  <si>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</si>
  <si>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</si>
  <si>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</si>
  <si>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</si>
  <si>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</si>
  <si>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</si>
  <si>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</si>
  <si>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</si>
  <si>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</si>
  <si>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</si>
  <si>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</si>
  <si>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</si>
  <si>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</si>
  <si>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</si>
  <si>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</si>
  <si>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</si>
  <si>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</si>
  <si>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</si>
  <si>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Ejendomsskat</t>
  </si>
  <si>
    <t>Erstatninger</t>
  </si>
  <si>
    <t>Ingen tilknyttet virksomhed</t>
  </si>
  <si>
    <t>Ingen bortfald eller nedsættelse</t>
  </si>
  <si>
    <t>Økonomisk ramme for 2024</t>
  </si>
  <si>
    <t>Investeringsomkostninger til erstatninger</t>
  </si>
  <si>
    <t>Korrektion af tidligere rammer</t>
  </si>
  <si>
    <t>Engangskorrektion vedrørende erstatninger</t>
  </si>
  <si>
    <t>Justering vedrørende erstatninger</t>
  </si>
  <si>
    <t>Tømning af slambed</t>
  </si>
  <si>
    <t>Ingen engangstillæg</t>
  </si>
  <si>
    <t>SRO-anlæg, vandværk</t>
  </si>
  <si>
    <t>10</t>
  </si>
  <si>
    <t>SRO anlæg</t>
  </si>
  <si>
    <t>Ø 50mm &lt; Ledningsnet ≤ Ø110 mm</t>
  </si>
  <si>
    <t>75</t>
  </si>
  <si>
    <t>GIS - modul 1-2</t>
  </si>
  <si>
    <t>5</t>
  </si>
  <si>
    <t>KLS /ISO 9001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</si>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</sst>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7" t="s">
        <v>4</v>
      </c>
      <c r="E6" s="67"/>
      <c r="F6" s="67"/>
      <c r="G6" s="67"/>
      <c r="H6" s="3"/>
      <c r="I6" s="1"/>
    </row>
    <row r="7" spans="1:9" ht="15" customHeight="1" x14ac:dyDescent="0.45">
      <c r="A7" s="1"/>
      <c r="B7" s="1"/>
      <c r="C7" s="3"/>
      <c r="D7" s="67"/>
      <c r="E7" s="67"/>
      <c r="F7" s="67"/>
      <c r="G7" s="67"/>
      <c r="H7" s="3"/>
      <c r="I7" s="1"/>
    </row>
    <row r="8" spans="1:9" ht="15.75" x14ac:dyDescent="0.5">
      <c r="A8" s="1"/>
      <c r="B8" s="1"/>
      <c r="C8" s="4"/>
      <c r="D8" s="69" t="s">
        <v>206</v>
      </c>
      <c r="E8" s="69"/>
      <c r="F8" s="69"/>
      <c r="G8" s="69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8" t="s">
        <v>5</v>
      </c>
      <c r="E11" s="68"/>
      <c r="F11" s="68"/>
      <c r="G11" s="68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4" t="s">
        <v>151</v>
      </c>
      <c r="E13" s="65"/>
      <c r="F13" s="65"/>
      <c r="G13" s="66"/>
      <c r="H13" s="1"/>
      <c r="I13" s="1"/>
    </row>
    <row r="14" spans="1:9" x14ac:dyDescent="0.45">
      <c r="A14" s="1"/>
      <c r="B14" s="1"/>
      <c r="C14" s="6" t="s">
        <v>15</v>
      </c>
      <c r="D14" s="64" t="s">
        <v>207</v>
      </c>
      <c r="E14" s="65"/>
      <c r="F14" s="65"/>
      <c r="G14" s="66"/>
      <c r="H14" s="1"/>
      <c r="I14" s="1"/>
    </row>
    <row r="15" spans="1:9" x14ac:dyDescent="0.45">
      <c r="A15" s="1"/>
      <c r="B15" s="1"/>
      <c r="C15" s="6" t="s">
        <v>40</v>
      </c>
      <c r="D15" s="64" t="s">
        <v>93</v>
      </c>
      <c r="E15" s="65"/>
      <c r="F15" s="65"/>
      <c r="G15" s="66"/>
      <c r="H15" s="1"/>
      <c r="I15" s="1"/>
    </row>
    <row r="16" spans="1:9" x14ac:dyDescent="0.45">
      <c r="A16" s="1"/>
      <c r="B16" s="1"/>
      <c r="C16" s="6" t="s">
        <v>41</v>
      </c>
      <c r="D16" s="64" t="s">
        <v>152</v>
      </c>
      <c r="E16" s="65"/>
      <c r="F16" s="65"/>
      <c r="G16" s="66"/>
      <c r="H16" s="1"/>
      <c r="I16" s="1"/>
    </row>
    <row r="17" spans="1:9" x14ac:dyDescent="0.45">
      <c r="A17" s="1"/>
      <c r="B17" s="1"/>
      <c r="C17" s="6" t="s">
        <v>150</v>
      </c>
      <c r="D17" s="64" t="s">
        <v>153</v>
      </c>
      <c r="E17" s="65"/>
      <c r="F17" s="65"/>
      <c r="G17" s="66"/>
      <c r="H17" s="1"/>
      <c r="I17" s="1"/>
    </row>
    <row r="18" spans="1:9" x14ac:dyDescent="0.45">
      <c r="A18" s="1"/>
      <c r="B18" s="1"/>
      <c r="C18" s="33" t="s">
        <v>134</v>
      </c>
      <c r="D18" s="70" t="s">
        <v>114</v>
      </c>
      <c r="E18" s="71"/>
      <c r="F18" s="71"/>
      <c r="G18" s="72"/>
      <c r="H18" s="1"/>
      <c r="I18" s="1"/>
    </row>
    <row r="19" spans="1:9" x14ac:dyDescent="0.45">
      <c r="A19" s="1"/>
      <c r="B19" s="1"/>
      <c r="C19" s="33" t="s">
        <v>135</v>
      </c>
      <c r="D19" s="70" t="s">
        <v>115</v>
      </c>
      <c r="E19" s="71"/>
      <c r="F19" s="71"/>
      <c r="G19" s="72"/>
      <c r="H19" s="1"/>
      <c r="I19" s="1"/>
    </row>
    <row r="20" spans="1:9" x14ac:dyDescent="0.45">
      <c r="A20" s="1"/>
      <c r="B20" s="1"/>
      <c r="C20" s="33" t="s">
        <v>7</v>
      </c>
      <c r="D20" s="70" t="s">
        <v>9</v>
      </c>
      <c r="E20" s="71"/>
      <c r="F20" s="71"/>
      <c r="G20" s="72"/>
      <c r="H20" s="1"/>
      <c r="I20" s="1"/>
    </row>
    <row r="21" spans="1:9" x14ac:dyDescent="0.45">
      <c r="A21" s="1"/>
      <c r="B21" s="1"/>
      <c r="C21" s="6" t="s">
        <v>136</v>
      </c>
      <c r="D21" s="61" t="s">
        <v>12</v>
      </c>
      <c r="E21" s="62"/>
      <c r="F21" s="62"/>
      <c r="G21" s="63"/>
      <c r="H21" s="1"/>
      <c r="I21" s="1"/>
    </row>
    <row r="22" spans="1:9" x14ac:dyDescent="0.45">
      <c r="A22" s="1"/>
      <c r="B22" s="1"/>
      <c r="C22" s="6" t="s">
        <v>97</v>
      </c>
      <c r="D22" s="55" t="s">
        <v>154</v>
      </c>
      <c r="E22" s="56"/>
      <c r="F22" s="56"/>
      <c r="G22" s="57"/>
      <c r="H22" s="1"/>
      <c r="I22" s="1"/>
    </row>
    <row r="23" spans="1:9" x14ac:dyDescent="0.45">
      <c r="A23" s="1"/>
      <c r="B23" s="1"/>
      <c r="C23" s="6" t="s">
        <v>8</v>
      </c>
      <c r="D23" s="55" t="s">
        <v>42</v>
      </c>
      <c r="E23" s="56"/>
      <c r="F23" s="56"/>
      <c r="G23" s="57"/>
      <c r="H23" s="1"/>
      <c r="I23" s="1"/>
    </row>
    <row r="24" spans="1:9" x14ac:dyDescent="0.45">
      <c r="A24" s="1"/>
      <c r="B24" s="1"/>
      <c r="C24" s="6" t="s">
        <v>217</v>
      </c>
      <c r="D24" s="55" t="s">
        <v>98</v>
      </c>
      <c r="E24" s="56"/>
      <c r="F24" s="56"/>
      <c r="G24" s="57"/>
      <c r="H24" s="1"/>
      <c r="I24" s="1"/>
    </row>
    <row r="25" spans="1:9" x14ac:dyDescent="0.45">
      <c r="A25" s="1"/>
      <c r="B25" s="1"/>
      <c r="C25" s="6" t="s">
        <v>218</v>
      </c>
      <c r="D25" s="55" t="s">
        <v>99</v>
      </c>
      <c r="E25" s="56"/>
      <c r="F25" s="56"/>
      <c r="G25" s="57"/>
      <c r="H25" s="1"/>
      <c r="I25" s="1"/>
    </row>
    <row r="26" spans="1:9" x14ac:dyDescent="0.45">
      <c r="A26" s="1"/>
      <c r="B26" s="1"/>
      <c r="C26" s="6" t="s">
        <v>219</v>
      </c>
      <c r="D26" s="55" t="s">
        <v>155</v>
      </c>
      <c r="E26" s="56"/>
      <c r="F26" s="56"/>
      <c r="G26" s="57"/>
      <c r="H26" s="1"/>
      <c r="I26" s="1"/>
    </row>
    <row r="27" spans="1:9" x14ac:dyDescent="0.45">
      <c r="A27" s="1"/>
      <c r="B27" s="1"/>
      <c r="C27" s="6" t="s">
        <v>137</v>
      </c>
      <c r="D27" s="55" t="s">
        <v>43</v>
      </c>
      <c r="E27" s="56"/>
      <c r="F27" s="56"/>
      <c r="G27" s="57"/>
      <c r="H27" s="1"/>
      <c r="I27" s="1"/>
    </row>
    <row r="28" spans="1:9" x14ac:dyDescent="0.45">
      <c r="A28" s="1"/>
      <c r="B28" s="1"/>
      <c r="C28" s="6" t="s">
        <v>128</v>
      </c>
      <c r="D28" s="58" t="s">
        <v>129</v>
      </c>
      <c r="E28" s="59"/>
      <c r="F28" s="59"/>
      <c r="G28" s="60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ePK1zMBaSZbgtFo0iVh7lf/+X+ULBht/zG6QzPYM+X6smvLzpliXsZo2eFpeqwbR9a37Jvw9d5CIKw81i469Ow==" saltValue="H0CSjG1Ktmocr8/8kU0ZRA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3" t="s">
        <v>140</v>
      </c>
      <c r="C3" s="73"/>
      <c r="D3" s="73"/>
      <c r="E3" s="1"/>
      <c r="F3" s="1"/>
    </row>
    <row r="4" spans="1:6" ht="15" customHeight="1" x14ac:dyDescent="0.45">
      <c r="A4" s="1"/>
      <c r="B4" s="73"/>
      <c r="C4" s="73"/>
      <c r="D4" s="73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6" t="s">
        <v>168</v>
      </c>
      <c r="C8" s="97"/>
      <c r="D8" s="98"/>
      <c r="E8" s="1"/>
      <c r="F8" s="1"/>
    </row>
    <row r="9" spans="1:6" ht="15" customHeight="1" x14ac:dyDescent="0.45">
      <c r="A9" s="1"/>
      <c r="B9" s="41" t="s">
        <v>35</v>
      </c>
      <c r="C9" s="11" t="s">
        <v>171</v>
      </c>
      <c r="D9" s="11"/>
      <c r="E9" s="1"/>
      <c r="F9" s="1"/>
    </row>
    <row r="10" spans="1:6" ht="15" customHeight="1" x14ac:dyDescent="0.45">
      <c r="A10" s="1"/>
      <c r="B10" s="49" t="s">
        <v>234</v>
      </c>
      <c r="C10" s="9">
        <v>10416260</v>
      </c>
      <c r="D10" s="14" t="s">
        <v>3</v>
      </c>
      <c r="E10" s="1"/>
      <c r="F10" s="1"/>
    </row>
    <row r="11" spans="1:6" x14ac:dyDescent="0.45">
      <c r="A11" s="1"/>
      <c r="B11" s="49" t="s">
        <v>235</v>
      </c>
      <c r="C11" s="9">
        <v>68517</v>
      </c>
      <c r="D11" s="14" t="s">
        <v>3</v>
      </c>
      <c r="E11" s="1"/>
      <c r="F11" s="1"/>
    </row>
    <row r="12" spans="1:6" x14ac:dyDescent="0.45">
      <c r="A12" s="1"/>
      <c r="B12" s="49" t="s">
        <v>236</v>
      </c>
      <c r="C12" s="9">
        <v>40319</v>
      </c>
      <c r="D12" s="14" t="s">
        <v>3</v>
      </c>
      <c r="E12" s="1"/>
      <c r="F12" s="1"/>
    </row>
    <row r="13" spans="1:6" x14ac:dyDescent="0.45">
      <c r="A13" s="1"/>
      <c r="B13" s="49" t="s">
        <v>237</v>
      </c>
      <c r="C13" s="9">
        <v>10340</v>
      </c>
      <c r="D13" s="14" t="s">
        <v>3</v>
      </c>
      <c r="E13" s="1"/>
      <c r="F13" s="1"/>
    </row>
    <row r="14" spans="1:6" x14ac:dyDescent="0.45">
      <c r="A14" s="1"/>
      <c r="B14" s="48" t="s">
        <v>244</v>
      </c>
      <c r="C14" s="9">
        <v>92174.281008976526</v>
      </c>
      <c r="D14" s="14" t="s">
        <v>3</v>
      </c>
      <c r="E14" s="1"/>
      <c r="F14" s="1"/>
    </row>
    <row r="15" spans="1:6" x14ac:dyDescent="0.45">
      <c r="A15" s="1"/>
      <c r="B15" s="46" t="s">
        <v>169</v>
      </c>
      <c r="C15" s="12">
        <f>SUM(C10:C14)</f>
        <v>10627610.281008977</v>
      </c>
      <c r="D15" s="13" t="s">
        <v>3</v>
      </c>
      <c r="E15" s="1"/>
      <c r="F15" s="1"/>
    </row>
    <row r="16" spans="1:6" x14ac:dyDescent="0.45">
      <c r="A16" s="1"/>
      <c r="B16" s="46" t="s">
        <v>170</v>
      </c>
      <c r="C16" s="12">
        <f>C15*(1+'Fane 12. Nøgletal'!C13)^2</f>
        <v>10888505.785379821</v>
      </c>
      <c r="D16" s="13" t="s">
        <v>3</v>
      </c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16"/>
      <c r="C18" s="15"/>
      <c r="D18" s="15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  <row r="52" spans="1:6" x14ac:dyDescent="0.45">
      <c r="A52" s="1"/>
      <c r="B52" s="1"/>
      <c r="C52" s="1"/>
      <c r="D52" s="1"/>
      <c r="E52" s="1"/>
      <c r="F52" s="1"/>
    </row>
  </sheetData>
  <sheetProtection algorithmName="SHA-512" hashValue="LMbPVnH4iKz76z8xJQqFHvUMgwRstnQjKvrTdR9tdGWH8fCdB4ln7BiVF++/FRVBeaHu1TfeHokLIxCu/zonXw==" saltValue="SEjxMg4Y+upZ08bxzVdc3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ht="29.25" customHeight="1" x14ac:dyDescent="0.45">
      <c r="A2" s="1"/>
      <c r="B2" s="83" t="s">
        <v>172</v>
      </c>
      <c r="C2" s="83"/>
      <c r="D2" s="83"/>
      <c r="E2" s="83"/>
      <c r="F2" s="83"/>
      <c r="G2" s="1"/>
    </row>
    <row r="3" spans="1:7" ht="15" customHeight="1" x14ac:dyDescent="0.45">
      <c r="A3" s="1"/>
      <c r="B3" s="83"/>
      <c r="C3" s="83"/>
      <c r="D3" s="83"/>
      <c r="E3" s="83"/>
      <c r="F3" s="83"/>
      <c r="G3" s="1"/>
    </row>
    <row r="4" spans="1:7" ht="15" customHeight="1" x14ac:dyDescent="0.45">
      <c r="A4" s="1"/>
      <c r="B4" s="96" t="s">
        <v>39</v>
      </c>
      <c r="C4" s="97"/>
      <c r="D4" s="97"/>
      <c r="E4" s="97"/>
      <c r="F4" s="98"/>
      <c r="G4" s="1"/>
    </row>
    <row r="5" spans="1:7" ht="15" customHeight="1" x14ac:dyDescent="0.45">
      <c r="A5" s="1"/>
      <c r="B5" s="99" t="s">
        <v>37</v>
      </c>
      <c r="C5" s="100"/>
      <c r="D5" s="101"/>
      <c r="E5" s="9">
        <v>1953086.7983333336</v>
      </c>
      <c r="F5" s="14" t="s">
        <v>3</v>
      </c>
      <c r="G5" s="1"/>
    </row>
    <row r="6" spans="1:7" ht="15" customHeight="1" x14ac:dyDescent="0.45">
      <c r="A6" s="1"/>
      <c r="B6" s="99" t="s">
        <v>38</v>
      </c>
      <c r="C6" s="100"/>
      <c r="D6" s="101"/>
      <c r="E6" s="9">
        <v>-3974072.3326611742</v>
      </c>
      <c r="F6" s="14" t="s">
        <v>3</v>
      </c>
      <c r="G6" s="1"/>
    </row>
    <row r="7" spans="1:7" ht="15" customHeight="1" x14ac:dyDescent="0.45">
      <c r="A7" s="1"/>
      <c r="B7" s="107" t="s">
        <v>131</v>
      </c>
      <c r="C7" s="108"/>
      <c r="D7" s="109"/>
      <c r="E7" s="10">
        <f>SUM(E5:E6)</f>
        <v>-2020985.5343278407</v>
      </c>
      <c r="F7" s="17" t="s">
        <v>3</v>
      </c>
      <c r="G7" s="1"/>
    </row>
    <row r="8" spans="1:7" ht="15" customHeight="1" x14ac:dyDescent="0.45">
      <c r="A8" s="1"/>
      <c r="B8" s="46"/>
      <c r="C8" s="47"/>
      <c r="D8" s="47"/>
      <c r="E8" s="47"/>
      <c r="F8" s="20"/>
      <c r="G8" s="1"/>
    </row>
    <row r="9" spans="1:7" ht="28.5" customHeight="1" x14ac:dyDescent="0.45">
      <c r="A9" s="1"/>
      <c r="B9" s="87" t="s">
        <v>132</v>
      </c>
      <c r="C9" s="88"/>
      <c r="D9" s="88"/>
      <c r="E9" s="88"/>
      <c r="F9" s="89"/>
      <c r="G9" s="1"/>
    </row>
    <row r="10" spans="1:7" ht="28.5" customHeight="1" x14ac:dyDescent="0.45">
      <c r="A10" s="1"/>
      <c r="B10" s="1"/>
      <c r="C10" s="1"/>
      <c r="D10" s="1"/>
      <c r="E10" s="1"/>
      <c r="F10" s="1"/>
      <c r="G10" s="1"/>
    </row>
    <row r="11" spans="1:7" x14ac:dyDescent="0.45">
      <c r="A11" s="1"/>
      <c r="B11" s="96" t="s">
        <v>116</v>
      </c>
      <c r="C11" s="97"/>
      <c r="D11" s="97"/>
      <c r="E11" s="97"/>
      <c r="F11" s="98"/>
      <c r="G11" s="1"/>
    </row>
    <row r="12" spans="1:7" x14ac:dyDescent="0.45">
      <c r="A12" s="1"/>
      <c r="B12" s="99" t="s">
        <v>117</v>
      </c>
      <c r="C12" s="100"/>
      <c r="D12" s="101"/>
      <c r="E12" s="9">
        <v>40556539.777703516</v>
      </c>
      <c r="F12" s="14" t="s">
        <v>3</v>
      </c>
      <c r="G12" s="1"/>
    </row>
    <row r="13" spans="1:7" x14ac:dyDescent="0.45">
      <c r="A13" s="1"/>
      <c r="B13" s="99" t="s">
        <v>118</v>
      </c>
      <c r="C13" s="100"/>
      <c r="D13" s="101"/>
      <c r="E13" s="9">
        <v>40816942</v>
      </c>
      <c r="F13" s="14" t="s">
        <v>3</v>
      </c>
      <c r="G13" s="1"/>
    </row>
    <row r="14" spans="1:7" x14ac:dyDescent="0.45">
      <c r="A14" s="1"/>
      <c r="B14" s="99" t="s">
        <v>36</v>
      </c>
      <c r="C14" s="100"/>
      <c r="D14" s="101"/>
      <c r="E14" s="9">
        <v>0</v>
      </c>
      <c r="F14" s="14" t="s">
        <v>3</v>
      </c>
      <c r="G14" s="1"/>
    </row>
    <row r="15" spans="1:7" x14ac:dyDescent="0.45">
      <c r="A15" s="1"/>
      <c r="B15" s="107" t="s">
        <v>208</v>
      </c>
      <c r="C15" s="108"/>
      <c r="D15" s="109"/>
      <c r="E15" s="10">
        <f>E12-(E13-E14)</f>
        <v>-260402.22229648381</v>
      </c>
      <c r="F15" s="17" t="s">
        <v>3</v>
      </c>
      <c r="G15" s="1"/>
    </row>
    <row r="16" spans="1:7" x14ac:dyDescent="0.45">
      <c r="A16" s="1"/>
      <c r="B16" s="46"/>
      <c r="C16" s="47"/>
      <c r="D16" s="47"/>
      <c r="E16" s="47"/>
      <c r="F16" s="20"/>
      <c r="G16" s="1"/>
    </row>
    <row r="17" spans="1:7" ht="30" customHeight="1" x14ac:dyDescent="0.45">
      <c r="A17" s="1"/>
      <c r="B17" s="87" t="s">
        <v>133</v>
      </c>
      <c r="C17" s="88"/>
      <c r="D17" s="88"/>
      <c r="E17" s="88"/>
      <c r="F17" s="89"/>
      <c r="G17" s="1"/>
    </row>
    <row r="18" spans="1:7" ht="28.5" customHeight="1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96" t="s">
        <v>50</v>
      </c>
      <c r="C19" s="97"/>
      <c r="D19" s="97"/>
      <c r="E19" s="97"/>
      <c r="F19" s="98"/>
      <c r="G19" s="1"/>
    </row>
    <row r="20" spans="1:7" x14ac:dyDescent="0.45">
      <c r="A20" s="1"/>
      <c r="B20" s="99" t="s">
        <v>51</v>
      </c>
      <c r="C20" s="100"/>
      <c r="D20" s="101"/>
      <c r="E20" s="9">
        <v>45548769.775448762</v>
      </c>
      <c r="F20" s="14" t="s">
        <v>3</v>
      </c>
      <c r="G20" s="1"/>
    </row>
    <row r="21" spans="1:7" x14ac:dyDescent="0.45">
      <c r="A21" s="1"/>
      <c r="B21" s="99" t="s">
        <v>52</v>
      </c>
      <c r="C21" s="100"/>
      <c r="D21" s="101"/>
      <c r="E21" s="9">
        <v>44284511</v>
      </c>
      <c r="F21" s="14" t="s">
        <v>3</v>
      </c>
      <c r="G21" s="1"/>
    </row>
    <row r="22" spans="1:7" x14ac:dyDescent="0.45">
      <c r="A22" s="1"/>
      <c r="B22" s="99" t="s">
        <v>36</v>
      </c>
      <c r="C22" s="100"/>
      <c r="D22" s="101"/>
      <c r="E22" s="9">
        <v>0</v>
      </c>
      <c r="F22" s="14" t="s">
        <v>3</v>
      </c>
      <c r="G22" s="1"/>
    </row>
    <row r="23" spans="1:7" x14ac:dyDescent="0.45">
      <c r="A23" s="1"/>
      <c r="B23" s="107" t="s">
        <v>209</v>
      </c>
      <c r="C23" s="108"/>
      <c r="D23" s="109"/>
      <c r="E23" s="10">
        <f>E20-(E21-E22)</f>
        <v>1264258.7754487619</v>
      </c>
      <c r="F23" s="17" t="s">
        <v>3</v>
      </c>
      <c r="G23" s="1"/>
    </row>
    <row r="24" spans="1:7" x14ac:dyDescent="0.45">
      <c r="A24" s="1"/>
      <c r="B24" s="46"/>
      <c r="C24" s="47"/>
      <c r="D24" s="47"/>
      <c r="E24" s="47"/>
      <c r="F24" s="20"/>
      <c r="G24" s="1"/>
    </row>
    <row r="25" spans="1:7" ht="28.5" customHeight="1" x14ac:dyDescent="0.45">
      <c r="A25" s="1"/>
      <c r="B25" s="87" t="s">
        <v>179</v>
      </c>
      <c r="C25" s="88"/>
      <c r="D25" s="88"/>
      <c r="E25" s="88"/>
      <c r="F25" s="89"/>
      <c r="G25" s="1"/>
    </row>
    <row r="26" spans="1:7" ht="28.5" customHeight="1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96" t="s">
        <v>200</v>
      </c>
      <c r="C27" s="97"/>
      <c r="D27" s="97"/>
      <c r="E27" s="97"/>
      <c r="F27" s="98"/>
      <c r="G27" s="1"/>
    </row>
    <row r="28" spans="1:7" x14ac:dyDescent="0.45">
      <c r="A28" s="1"/>
      <c r="B28" s="99" t="s">
        <v>201</v>
      </c>
      <c r="C28" s="100"/>
      <c r="D28" s="101"/>
      <c r="E28" s="9">
        <v>42842372.408978947</v>
      </c>
      <c r="F28" s="14" t="s">
        <v>3</v>
      </c>
      <c r="G28" s="1"/>
    </row>
    <row r="29" spans="1:7" x14ac:dyDescent="0.45">
      <c r="A29" s="1"/>
      <c r="B29" s="99" t="s">
        <v>202</v>
      </c>
      <c r="C29" s="100"/>
      <c r="D29" s="101"/>
      <c r="E29" s="9">
        <v>44335478</v>
      </c>
      <c r="F29" s="14" t="s">
        <v>3</v>
      </c>
      <c r="G29" s="1"/>
    </row>
    <row r="30" spans="1:7" x14ac:dyDescent="0.45">
      <c r="A30" s="1"/>
      <c r="B30" s="99" t="s">
        <v>36</v>
      </c>
      <c r="C30" s="100"/>
      <c r="D30" s="101"/>
      <c r="E30" s="9">
        <v>0</v>
      </c>
      <c r="F30" s="14" t="s">
        <v>3</v>
      </c>
      <c r="G30" s="1"/>
    </row>
    <row r="31" spans="1:7" x14ac:dyDescent="0.45">
      <c r="A31" s="1"/>
      <c r="B31" s="107" t="s">
        <v>210</v>
      </c>
      <c r="C31" s="108"/>
      <c r="D31" s="109"/>
      <c r="E31" s="10">
        <f>E28-(E29-E30)</f>
        <v>-1493105.5910210535</v>
      </c>
      <c r="F31" s="17" t="s">
        <v>3</v>
      </c>
      <c r="G31" s="1"/>
    </row>
    <row r="32" spans="1:7" x14ac:dyDescent="0.45">
      <c r="A32" s="1"/>
      <c r="B32" s="46"/>
      <c r="C32" s="47"/>
      <c r="D32" s="47"/>
      <c r="E32" s="47"/>
      <c r="F32" s="20"/>
      <c r="G32" s="1"/>
    </row>
    <row r="33" spans="1:7" ht="28.5" customHeight="1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96" t="s">
        <v>125</v>
      </c>
      <c r="C34" s="97"/>
      <c r="D34" s="97"/>
      <c r="E34" s="97"/>
      <c r="F34" s="98"/>
      <c r="G34" s="1"/>
    </row>
    <row r="35" spans="1:7" x14ac:dyDescent="0.45">
      <c r="A35" s="1"/>
      <c r="B35" s="110" t="s">
        <v>255</v>
      </c>
      <c r="C35" s="111"/>
      <c r="D35" s="112"/>
      <c r="E35" s="9">
        <v>0</v>
      </c>
      <c r="F35" s="14"/>
      <c r="G35" s="1"/>
    </row>
    <row r="36" spans="1:7" x14ac:dyDescent="0.45">
      <c r="A36" s="1"/>
      <c r="B36" s="110" t="s">
        <v>256</v>
      </c>
      <c r="C36" s="111"/>
      <c r="D36" s="112"/>
      <c r="E36" s="9">
        <v>1</v>
      </c>
      <c r="F36" s="14"/>
      <c r="G36" s="1"/>
    </row>
    <row r="37" spans="1:7" x14ac:dyDescent="0.45">
      <c r="A37" s="1"/>
      <c r="B37" s="110" t="s">
        <v>113</v>
      </c>
      <c r="C37" s="111"/>
      <c r="D37" s="112"/>
      <c r="E37" s="9">
        <f>IF(AND(E7&lt;0,E15&gt;0,ABS(E15)&gt;ABS(E7),E23&gt;0,E31&gt;0),0,IF(AND(E7&lt;0,E15&gt;0,ABS(E15)&gt;ABS(E7),E23&lt;0,E31&gt;0,ABS(E7+E15)&gt;ABS(E23)),0,IF(AND(E7&lt;0,E15&gt;0,ABS(E15)&gt;ABS(E7),E23&lt;0,E31&gt;0,ABS(E7+E15)&lt;ABS(E23),ABS(E31)&gt;ABS(E15+E23)),0,IF(AND(E7&lt;0,E15&gt;0,ABS(E15)&gt;ABS(E7),E23&lt;0,E31&gt;0,ABS(E7+E15)&lt;ABS(E23),ABS(E31)&lt;ABS(E7+E15+E23)),(E7+E15+E23),IF(AND(E7&lt;0,E15&gt;0,ABS(E15)&gt;ABS(E7),E23&gt;0,E31&lt;0,ABS(E23)&gt;ABS(E31)),0,IF(AND(E35=0,E36=0,E7&lt;0,E15&gt;0,ABS(E15)&gt;ABS(E7),E23&gt;0,E31&lt;0,ABS(E31)&gt;ABS(E23)),(E23+E31),IF(AND(E35=1,E36=1,E7&lt;0,E15&gt;0,ABS(E15)&gt;ABS(E7),E23&gt;0,E31&lt;0,ABS(E31)&gt;ABS(E7+E15+E23)),(E7+E15+E23+E31),IF(AND(E35=1,E36=1,E7&lt;0,E15&gt;0,ABS(E15)&gt;ABS(E7),E23&gt;0,E31&lt;0,ABS(E31)&lt;ABS(E7+E15+E23)),0,IF(AND(E35=0,E36=0,E7&lt;0,E15&gt;0,ABS(E15)&gt;ABS(E7),E23&lt;0,E31&lt;0,ABS(E7+E15)&gt;ABS(E23)),E31,IF(AND(E35=1,E36=0,E7&lt;0,E15&gt;0,ABS(E15)&gt;ABS(E7),E23&lt;0,E31&lt;0,ABS(E7+E15)&gt;ABS(E23),ABS(E7+E15+E23)&gt;ABS(E31)),0,IF(AND(E35=1,E36=0,E7&lt;0,E15&gt;0,ABS(E15)&gt;ABS(E7),E23&lt;0,E31&lt;0,ABS(E7+E15)&gt;ABS(E23),ABS(E7+E15+E23)&lt;ABS(E31)),(E7+E15+E23+E31),IF(AND(E7&lt;0,E15&gt;0,ABS(E15)&gt;ABS(E7),E23&lt;0,E31&lt;0,ABS(E23)&gt;ABS(E7+E15)),(E7+E15+E23+E31),IF(AND(E7&lt;0,E15&lt;0,E23&lt;0,E31&lt;0),(E23+E31),IF(AND(E7&lt;0,E15&lt;0,E23&lt;0,E31&gt;0),E23,IF(AND(E7&lt;0,E15&lt;0,E23&gt;0,E31&lt;0,ABS(E31)&lt;ABS(E15+E23),ABS(E23)&gt;ABS(E15)),0,IF(AND(E7&lt;0,E15&lt;0,E23&gt;0,E31&lt;0,ABS(E31)&gt;ABS(E15+E23),ABS(E23)&gt;ABS(E15)),(E31+(E15+E23)),IF(AND(E7&lt;0,E15&lt;0,E23&gt;0,E31&lt;0,ABS(E15)&gt;ABS(E23)),E31,IF(AND(E7&lt;0,E15&lt;0,E23&gt;0,E31&gt;0),0,IF(AND(E7&gt;0,E15&gt;0,E23&gt;0,E31&gt;0),0,IF(AND(E7&gt;0,E15&gt;0,E23&lt;0,E31&gt;0,ABS(E15)&gt;ABS(E23)),0,IF(AND(E7&gt;0,E15&gt;0,E23&lt;0,E31&gt;0,ABS(E15)&lt;ABS(E23)),(E15+E23),IF(AND(E7&gt;0,E15&gt;0,E23&gt;0,E31&lt;0,ABS(E23)&gt;ABS(E31)),0,IF(AND(E35=0,E36=0,E7&gt;0,E15&gt;0,E23&gt;0,E31&lt;0,ABS(E31)&gt;ABS(E23)),(E23+E31),IF(AND(E35=1,E36=1,E7&gt;0,E15&gt;0,E23&gt;0,E31&lt;0,ABS(E31)&gt;ABS(E15+E23)),(E15+E23+E31),IF(AND(E35=1,E36=1,E7&gt;0,E15&gt;0,E23&gt;0,E31&lt;0,ABS(E31)&lt;ABS(E15+E23)),0,IF(AND(E35=0,E36=0,E7&gt;0,E15&gt;0,E23&lt;0,E31&lt;0,ABS(E15)&gt;ABS(E23)),E31,IF(AND(E35=1,E36=0,E7&gt;0,E15&gt;0,E23&lt;0,E31&lt;0,ABS(E15)&gt;ABS(E23),ABS(E15+E23)&gt;ABS(E31)),0,IF(AND(E35=1,E36=0,E7&gt;0,E15&gt;0,E23&lt;0,E31&lt;0,ABS(E15)&gt;ABS(E23),ABS(E15+E23)&lt;ABS(E31)),(E15+E23+E31),IF(AND(E7&gt;0,E15&gt;0,E23&lt;0,E31&lt;0,ABS(E23)&gt;ABS(E15)),(E15+E23+E31),IF(AND(E7&gt;0,E15&lt;0,ABS(E15)&gt;ABS(E7),E23&lt;0,E31&lt;0),(E23+E31),IF(AND(E7&gt;0,E15&lt;0,ABS(E15)&gt;ABS(E7),E23&lt;0,E31&gt;0),E23,IF(AND(E7&gt;0,E15&lt;0,ABS(E15)&gt;ABS(E7),E23&gt;0,E31&lt;0,ABS(E23)&gt;ABS(E7+E15),ABS(E31)&lt;ABS(E7+E15+E23)),0,IF(AND(E7&gt;0,E15&lt;0,ABS(E15)&gt;ABS(E7),E23&gt;0,E31&lt;0,ABS(E23)&gt;ABS(E7+E15),ABS(E31)&gt;ABS(E7+E15+E23)),(E31+(E7+E15+E23)),IF(AND(E7&gt;0,E15&lt;0,ABS(E15)&gt;ABS(E7),E23&gt;0,E31&lt;0,ABS(E7+E15)&gt;ABS(E23)),E31,IF(AND(E7&gt;0,E15&lt;0,ABS(E15)&gt;ABS(E7),E23&gt;0,E31&gt;0),0,IF(AND(E7&gt;0,E15&lt;0,ABS(E7)&gt;ABS(E15),E23&lt;0,E31&gt;0),E23,IF(AND(E7&gt;0,E15&lt;0,ABS(E7)&gt;ABS(E15),E23&gt;0,E31&gt;0),0,IF(AND(E7&gt;0,E15&lt;0,ABS(E7)&gt;ABS(E15),E23&lt;0,E31&lt;0),(E23+E31),IF(AND(E7&gt;0,E15&lt;0,ABS(E7)&gt;ABS(E15),E23&gt;0,E31&lt;0,ABS(E23)&gt;ABS(E31)),0,IF(AND(E7&gt;0,E15&lt;0,ABS(E7)&gt;ABS(E15),E23&gt;0,E31&lt;0,ABS(E23)&lt;ABS(E31)),(E23+E31),IF(AND(E7&lt;0,E15&gt;0,ABS(E7)&gt;ABS(E15),E23&lt;0,E31&gt;0),E23,IF(AND(E7&lt;0,E15&gt;0,ABS(E7)&gt;ABS(E15),E23&gt;0,E31&gt;0),0,IF(AND(E7&lt;0,E15&gt;0,ABS(E7)&gt;ABS(E15),E23&lt;0,E31&lt;0),(E23+E31),IF(AND(E7&lt;0,E15&gt;0,ABS(E7)&gt;ABS(E15),E23&gt;0,E31&lt;0,ABS(E23)&gt;ABS(E31)),0,IF(AND(E7&lt;0,E15&gt;0,ABS(E7)&gt;ABS(E15),E23&gt;0,E31&lt;0,ABS(E23)&lt;ABS(E31)),(E23+E31),FALSE)))))))))))))))))))))))))))))))))))))))))))))</f>
        <v>-489249.03786877543</v>
      </c>
      <c r="F37" s="14" t="s">
        <v>3</v>
      </c>
      <c r="G37" s="1"/>
    </row>
    <row r="38" spans="1:7" x14ac:dyDescent="0.45">
      <c r="A38" s="1"/>
      <c r="B38" s="110" t="s">
        <v>130</v>
      </c>
      <c r="C38" s="111"/>
      <c r="D38" s="112"/>
      <c r="E38" s="9">
        <v>2</v>
      </c>
      <c r="F38" s="14" t="s">
        <v>19</v>
      </c>
      <c r="G38" s="1"/>
    </row>
    <row r="39" spans="1:7" ht="15" customHeight="1" x14ac:dyDescent="0.45">
      <c r="A39" s="1"/>
      <c r="B39" s="113" t="s">
        <v>203</v>
      </c>
      <c r="C39" s="113"/>
      <c r="D39" s="113"/>
      <c r="E39" s="10">
        <f>E37/E38</f>
        <v>-244624.51893438771</v>
      </c>
      <c r="F39" s="17" t="s">
        <v>3</v>
      </c>
      <c r="G39" s="1"/>
    </row>
    <row r="40" spans="1:7" x14ac:dyDescent="0.45">
      <c r="A40" s="1"/>
      <c r="B40" s="96"/>
      <c r="C40" s="97"/>
      <c r="D40" s="97"/>
      <c r="E40" s="97"/>
      <c r="F40" s="98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4" spans="1:7" x14ac:dyDescent="0.45">
      <c r="A44" s="37"/>
      <c r="B44" s="37"/>
      <c r="C44" s="37"/>
      <c r="D44" s="37"/>
      <c r="E44" s="37"/>
      <c r="F44" s="37"/>
      <c r="G44" s="37"/>
    </row>
    <row r="45" spans="1:7" x14ac:dyDescent="0.45">
      <c r="A45" s="37"/>
      <c r="B45" s="37"/>
      <c r="C45" s="37"/>
      <c r="D45" s="37"/>
      <c r="E45" s="37"/>
      <c r="F45" s="37"/>
      <c r="G45" s="37"/>
    </row>
    <row r="46" spans="1:7" x14ac:dyDescent="0.45">
      <c r="A46" s="37"/>
      <c r="B46" s="37"/>
      <c r="C46" s="37"/>
      <c r="D46" s="37"/>
      <c r="E46" s="37"/>
      <c r="F46" s="37"/>
      <c r="G46" s="37"/>
    </row>
    <row r="47" spans="1:7" x14ac:dyDescent="0.45">
      <c r="A47" s="37"/>
      <c r="B47" s="37"/>
      <c r="C47" s="37"/>
      <c r="D47" s="37"/>
      <c r="E47" s="37"/>
      <c r="F47" s="37"/>
      <c r="G47" s="37"/>
    </row>
  </sheetData>
  <sheetProtection algorithmName="SHA-512" hashValue="fef0h0WEw1qcTgFGnGNk3+DYsf5gPw0L4jG30c+IpQhoHP+Bdk2BpGzeW5AgU1pDZhANCKrS6sliuWiv0g1Irg==" saltValue="W6pDa1nPNgCv7cQ7Ksj8Mw==" spinCount="100000" sheet="1" objects="1" scenarios="1"/>
  <mergeCells count="30">
    <mergeCell ref="B2:F3"/>
    <mergeCell ref="B19:F19"/>
    <mergeCell ref="B20:D20"/>
    <mergeCell ref="B21:D21"/>
    <mergeCell ref="B22:D22"/>
    <mergeCell ref="B14:D14"/>
    <mergeCell ref="B15:D15"/>
    <mergeCell ref="B4:F4"/>
    <mergeCell ref="B5:D5"/>
    <mergeCell ref="B6:D6"/>
    <mergeCell ref="B7:D7"/>
    <mergeCell ref="B11:F11"/>
    <mergeCell ref="B12:D12"/>
    <mergeCell ref="B13:D13"/>
    <mergeCell ref="B9:F9"/>
    <mergeCell ref="B17:F17"/>
    <mergeCell ref="B40:F40"/>
    <mergeCell ref="B23:D23"/>
    <mergeCell ref="B34:F34"/>
    <mergeCell ref="B37:D37"/>
    <mergeCell ref="B38:D38"/>
    <mergeCell ref="B39:D39"/>
    <mergeCell ref="B27:F27"/>
    <mergeCell ref="B28:D28"/>
    <mergeCell ref="B29:D29"/>
    <mergeCell ref="B30:D30"/>
    <mergeCell ref="B31:D31"/>
    <mergeCell ref="B25:F25"/>
    <mergeCell ref="B35:D35"/>
    <mergeCell ref="B36:D36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3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216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6" t="s">
        <v>197</v>
      </c>
      <c r="C8" s="97"/>
      <c r="D8" s="97"/>
      <c r="E8" s="97"/>
      <c r="F8" s="97"/>
      <c r="G8" s="97"/>
      <c r="H8" s="98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3"/>
      <c r="I9" s="1"/>
    </row>
    <row r="10" spans="1:9" x14ac:dyDescent="0.45">
      <c r="A10" s="1"/>
      <c r="B10" s="52" t="s">
        <v>247</v>
      </c>
      <c r="C10" s="53" t="s">
        <v>248</v>
      </c>
      <c r="D10" s="9">
        <v>474809</v>
      </c>
      <c r="E10" s="9">
        <f>IFERROR(D10/C10,0)</f>
        <v>47480.9</v>
      </c>
      <c r="F10" s="9">
        <v>0</v>
      </c>
      <c r="G10" s="9">
        <v>14732</v>
      </c>
      <c r="H10" s="14" t="s">
        <v>3</v>
      </c>
      <c r="I10" s="1"/>
    </row>
    <row r="11" spans="1:9" x14ac:dyDescent="0.45">
      <c r="A11" s="1"/>
      <c r="B11" s="52" t="s">
        <v>249</v>
      </c>
      <c r="C11" s="53" t="s">
        <v>248</v>
      </c>
      <c r="D11" s="9">
        <v>5511530</v>
      </c>
      <c r="E11" s="9">
        <f t="shared" ref="E11:E15" si="0">IFERROR(D11/C11,0)</f>
        <v>551153</v>
      </c>
      <c r="F11" s="9">
        <v>0</v>
      </c>
      <c r="G11" s="9">
        <v>171004</v>
      </c>
      <c r="H11" s="14" t="s">
        <v>3</v>
      </c>
      <c r="I11" s="1"/>
    </row>
    <row r="12" spans="1:9" ht="26.65" x14ac:dyDescent="0.45">
      <c r="A12" s="1"/>
      <c r="B12" s="52" t="s">
        <v>250</v>
      </c>
      <c r="C12" s="53" t="s">
        <v>251</v>
      </c>
      <c r="D12" s="9">
        <v>1291988</v>
      </c>
      <c r="E12" s="9">
        <f t="shared" si="0"/>
        <v>17226.506666666668</v>
      </c>
      <c r="F12" s="9">
        <v>0</v>
      </c>
      <c r="G12" s="9">
        <v>40086</v>
      </c>
      <c r="H12" s="14" t="s">
        <v>3</v>
      </c>
      <c r="I12" s="1"/>
    </row>
    <row r="13" spans="1:9" ht="26.65" x14ac:dyDescent="0.45">
      <c r="A13" s="1"/>
      <c r="B13" s="52" t="s">
        <v>250</v>
      </c>
      <c r="C13" s="53" t="s">
        <v>251</v>
      </c>
      <c r="D13" s="9">
        <v>2019106</v>
      </c>
      <c r="E13" s="9">
        <f t="shared" si="0"/>
        <v>26921.413333333334</v>
      </c>
      <c r="F13" s="9">
        <v>0</v>
      </c>
      <c r="G13" s="9">
        <v>62646</v>
      </c>
      <c r="H13" s="14" t="s">
        <v>3</v>
      </c>
      <c r="I13" s="1"/>
    </row>
    <row r="14" spans="1:9" x14ac:dyDescent="0.45">
      <c r="A14" s="1"/>
      <c r="B14" s="52" t="s">
        <v>249</v>
      </c>
      <c r="C14" s="53" t="s">
        <v>248</v>
      </c>
      <c r="D14" s="9">
        <v>107074</v>
      </c>
      <c r="E14" s="9">
        <f t="shared" si="0"/>
        <v>10707.4</v>
      </c>
      <c r="F14" s="9">
        <v>0</v>
      </c>
      <c r="G14" s="9">
        <v>3322</v>
      </c>
      <c r="H14" s="14" t="s">
        <v>3</v>
      </c>
      <c r="I14" s="1"/>
    </row>
    <row r="15" spans="1:9" ht="26.65" x14ac:dyDescent="0.45">
      <c r="A15" s="1"/>
      <c r="B15" s="52" t="s">
        <v>250</v>
      </c>
      <c r="C15" s="53" t="s">
        <v>251</v>
      </c>
      <c r="D15" s="9">
        <v>1317147</v>
      </c>
      <c r="E15" s="9">
        <f t="shared" si="0"/>
        <v>17561.96</v>
      </c>
      <c r="F15" s="9">
        <v>0</v>
      </c>
      <c r="G15" s="9">
        <v>40867</v>
      </c>
      <c r="H15" s="14" t="s">
        <v>3</v>
      </c>
      <c r="I15" s="1"/>
    </row>
    <row r="16" spans="1:9" x14ac:dyDescent="0.45">
      <c r="A16" s="1"/>
      <c r="B16" s="52" t="s">
        <v>252</v>
      </c>
      <c r="C16" s="53" t="s">
        <v>253</v>
      </c>
      <c r="D16" s="9">
        <v>877040</v>
      </c>
      <c r="E16" s="9">
        <f t="shared" ref="E16:E17" si="1">IFERROR(D16/C16,0)</f>
        <v>175408</v>
      </c>
      <c r="F16" s="9">
        <v>0</v>
      </c>
      <c r="G16" s="9">
        <v>27212</v>
      </c>
      <c r="H16" s="14" t="s">
        <v>3</v>
      </c>
      <c r="I16" s="1"/>
    </row>
    <row r="17" spans="1:9" x14ac:dyDescent="0.45">
      <c r="A17" s="1"/>
      <c r="B17" s="52" t="s">
        <v>254</v>
      </c>
      <c r="C17" s="53" t="s">
        <v>253</v>
      </c>
      <c r="D17" s="9">
        <v>284959</v>
      </c>
      <c r="E17" s="9">
        <f t="shared" si="1"/>
        <v>56991.8</v>
      </c>
      <c r="F17" s="9">
        <v>0</v>
      </c>
      <c r="G17" s="9">
        <v>8841</v>
      </c>
      <c r="H17" s="14" t="s">
        <v>3</v>
      </c>
      <c r="I17" s="1"/>
    </row>
    <row r="18" spans="1:9" x14ac:dyDescent="0.45">
      <c r="A18" s="1"/>
      <c r="B18" s="96" t="s">
        <v>198</v>
      </c>
      <c r="C18" s="97"/>
      <c r="D18" s="98"/>
      <c r="E18" s="12">
        <f>SUM(E10:E17)</f>
        <v>903450.9800000001</v>
      </c>
      <c r="F18" s="12">
        <f t="shared" ref="F18:G18" si="2">SUM(F10:F17)</f>
        <v>0</v>
      </c>
      <c r="G18" s="12">
        <f t="shared" si="2"/>
        <v>368710</v>
      </c>
      <c r="H18" s="13" t="s">
        <v>3</v>
      </c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45">
      <c r="A53" s="1"/>
      <c r="B53" s="1"/>
      <c r="C53" s="1"/>
      <c r="D53" s="1"/>
      <c r="E53" s="1"/>
      <c r="F53" s="1"/>
      <c r="G53" s="1"/>
      <c r="H53" s="1"/>
      <c r="I53" s="1"/>
    </row>
  </sheetData>
  <sheetProtection algorithmName="SHA-512" hashValue="2WhCVXoX+ShG14lR5dMSb2uQOyekTN+mokG2FFNxXeKelSXI9+BpzNTgsNURvhG3lyg+Zuk7dgUqkkRwE6R5lA==" saltValue="ln5PFlbXW1p4ZO43uGXooQ==" spinCount="100000" sheet="1" objects="1" scenarios="1"/>
  <mergeCells count="3">
    <mergeCell ref="B3:H4"/>
    <mergeCell ref="B18:D18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215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6" t="s">
        <v>94</v>
      </c>
      <c r="C8" s="47"/>
      <c r="D8" s="47"/>
      <c r="E8" s="47"/>
      <c r="F8" s="20"/>
      <c r="G8" s="1"/>
    </row>
    <row r="9" spans="1:7" ht="17.25" customHeight="1" x14ac:dyDescent="0.45">
      <c r="A9" s="1"/>
      <c r="B9" s="44" t="s">
        <v>16</v>
      </c>
      <c r="C9" s="44" t="s">
        <v>11</v>
      </c>
      <c r="D9" s="45"/>
      <c r="E9" s="44" t="s">
        <v>34</v>
      </c>
      <c r="F9" s="43"/>
      <c r="G9" s="1"/>
    </row>
    <row r="10" spans="1:7" x14ac:dyDescent="0.45">
      <c r="A10" s="1"/>
      <c r="B10" s="25" t="s">
        <v>44</v>
      </c>
      <c r="C10" s="22">
        <f>'Fane 8. Anlægsprojekter'!F18</f>
        <v>0</v>
      </c>
      <c r="D10" s="14" t="s">
        <v>3</v>
      </c>
      <c r="E10" s="9">
        <f>SUM('Fane 8. Anlægsprojekter'!E18,'Fane 8. Anlægsprojekter'!G18)</f>
        <v>1272160.98</v>
      </c>
      <c r="F10" s="14" t="s">
        <v>3</v>
      </c>
      <c r="G10" s="1"/>
    </row>
    <row r="11" spans="1:7" x14ac:dyDescent="0.45">
      <c r="A11" s="1"/>
      <c r="B11" s="54" t="s">
        <v>245</v>
      </c>
      <c r="C11" s="22">
        <v>56572</v>
      </c>
      <c r="D11" s="14" t="s">
        <v>3</v>
      </c>
      <c r="E11" s="9">
        <v>0</v>
      </c>
      <c r="F11" s="14" t="s">
        <v>3</v>
      </c>
      <c r="G11" s="1"/>
    </row>
    <row r="12" spans="1:7" x14ac:dyDescent="0.45">
      <c r="A12" s="1"/>
      <c r="B12" s="46" t="s">
        <v>48</v>
      </c>
      <c r="C12" s="12">
        <f>SUM(C10:C11)</f>
        <v>56572</v>
      </c>
      <c r="D12" s="13" t="s">
        <v>3</v>
      </c>
      <c r="E12" s="12">
        <f>SUM(E10:E11)</f>
        <v>1272160.98</v>
      </c>
      <c r="F12" s="13" t="s">
        <v>3</v>
      </c>
      <c r="G12" s="1"/>
    </row>
    <row r="13" spans="1:7" x14ac:dyDescent="0.45">
      <c r="A13" s="1"/>
      <c r="B13" s="46" t="s">
        <v>173</v>
      </c>
      <c r="C13" s="12">
        <f>C12*(1+'Fane 12. Nøgletal'!C13)</f>
        <v>57262.178399999997</v>
      </c>
      <c r="D13" s="13" t="s">
        <v>3</v>
      </c>
      <c r="E13" s="12">
        <f>E12*(1+'Fane 12. Nøgletal'!C13)</f>
        <v>1287681.3439559999</v>
      </c>
      <c r="F13" s="13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68ns1ZZDuJsGcO6Y1C1n/hp/h7qie4abPxIeioZIpW1SZIEIWwD1aX8cDHm5L20VQzGh5SaDBXIMxLpGv/aDag==" saltValue="qN2hmFQwvp+D94sppWtl5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214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6" t="s">
        <v>119</v>
      </c>
      <c r="C8" s="97"/>
      <c r="D8" s="97"/>
      <c r="E8" s="97"/>
      <c r="F8" s="98"/>
      <c r="G8" s="1"/>
    </row>
    <row r="9" spans="1:7" x14ac:dyDescent="0.45">
      <c r="A9" s="1"/>
      <c r="B9" s="44" t="s">
        <v>16</v>
      </c>
      <c r="C9" s="44" t="s">
        <v>11</v>
      </c>
      <c r="D9" s="45"/>
      <c r="E9" s="44" t="s">
        <v>34</v>
      </c>
      <c r="F9" s="43"/>
      <c r="G9" s="1"/>
    </row>
    <row r="10" spans="1:7" x14ac:dyDescent="0.45">
      <c r="A10" s="1"/>
      <c r="B10" s="25" t="s">
        <v>245</v>
      </c>
      <c r="C10" s="22">
        <v>226289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6" t="s">
        <v>174</v>
      </c>
      <c r="C11" s="12">
        <f>SUM(C10:C10)</f>
        <v>226289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9</v>
      </c>
      <c r="C12" s="28">
        <f>-C11*'Fane 5. Individuelt eff. krav'!G10</f>
        <v>-3263.1723706146677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45">
      <c r="A13" s="1"/>
      <c r="B13" s="27" t="s">
        <v>123</v>
      </c>
      <c r="C13" s="28">
        <f>-C11*'Fane 12. Nøgletal'!C27</f>
        <v>-4525.78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45">
      <c r="A14" s="1"/>
      <c r="B14" s="46" t="s">
        <v>122</v>
      </c>
      <c r="C14" s="12">
        <f>SUM(C11:C13)*(1+'Fane 12. Nøgletal'!C13)^2</f>
        <v>223863.97033863151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6" t="s">
        <v>120</v>
      </c>
      <c r="C16" s="97"/>
      <c r="D16" s="97"/>
      <c r="E16" s="97"/>
      <c r="F16" s="98"/>
      <c r="G16" s="1"/>
    </row>
    <row r="17" spans="1:7" x14ac:dyDescent="0.45">
      <c r="A17" s="1"/>
      <c r="B17" s="44" t="s">
        <v>16</v>
      </c>
      <c r="C17" s="44" t="s">
        <v>11</v>
      </c>
      <c r="D17" s="45"/>
      <c r="E17" s="44" t="s">
        <v>34</v>
      </c>
      <c r="F17" s="43"/>
      <c r="G17" s="1"/>
    </row>
    <row r="18" spans="1:7" x14ac:dyDescent="0.45">
      <c r="A18" s="1"/>
      <c r="B18" s="25" t="s">
        <v>246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46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4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45">
      <c r="A22" s="1"/>
      <c r="B22" s="46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6" t="s">
        <v>121</v>
      </c>
      <c r="C24" s="97"/>
      <c r="D24" s="97"/>
      <c r="E24" s="97"/>
      <c r="F24" s="98"/>
      <c r="G24" s="1"/>
    </row>
    <row r="25" spans="1:7" x14ac:dyDescent="0.45">
      <c r="A25" s="1"/>
      <c r="B25" s="44" t="s">
        <v>16</v>
      </c>
      <c r="C25" s="44" t="s">
        <v>11</v>
      </c>
      <c r="D25" s="45"/>
      <c r="E25" s="44" t="s">
        <v>34</v>
      </c>
      <c r="F25" s="43"/>
      <c r="G25" s="1"/>
    </row>
    <row r="26" spans="1:7" x14ac:dyDescent="0.45">
      <c r="A26" s="1"/>
      <c r="B26" s="25" t="s">
        <v>246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46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4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45">
      <c r="A30" s="1"/>
      <c r="B30" s="46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6" t="s">
        <v>176</v>
      </c>
      <c r="C32" s="97"/>
      <c r="D32" s="97"/>
      <c r="E32" s="97"/>
      <c r="F32" s="98"/>
      <c r="G32" s="1"/>
    </row>
    <row r="33" spans="1:7" x14ac:dyDescent="0.45">
      <c r="A33" s="1"/>
      <c r="B33" s="44" t="s">
        <v>16</v>
      </c>
      <c r="C33" s="44" t="s">
        <v>11</v>
      </c>
      <c r="D33" s="45"/>
      <c r="E33" s="44" t="s">
        <v>34</v>
      </c>
      <c r="F33" s="43"/>
      <c r="G33" s="1"/>
    </row>
    <row r="34" spans="1:7" x14ac:dyDescent="0.45">
      <c r="A34" s="1"/>
      <c r="B34" s="25" t="s">
        <v>246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46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4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45">
      <c r="A38" s="1"/>
      <c r="B38" s="46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UYJlyfUwww9eZ4MHdcTSDNySRzEOE5JIB9W/w6vbCQJ68AROvxWIgrd1edXqdeNbXvEWgjl7xUTc6/eEV9XQKw==" saltValue="7IyyjQDNll8bZSlt3+2TP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86328125" style="2" customWidth="1"/>
    <col min="4" max="4" width="3.265625" style="2" customWidth="1"/>
    <col min="5" max="5" width="14.597656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3" t="s">
        <v>213</v>
      </c>
      <c r="C3" s="83"/>
      <c r="D3" s="83"/>
      <c r="E3" s="83"/>
      <c r="F3" s="83"/>
      <c r="G3" s="1"/>
    </row>
    <row r="4" spans="1:7" ht="25.5" customHeight="1" x14ac:dyDescent="0.45">
      <c r="A4" s="1"/>
      <c r="B4" s="83"/>
      <c r="C4" s="83"/>
      <c r="D4" s="83"/>
      <c r="E4" s="83"/>
      <c r="F4" s="8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6" t="s">
        <v>156</v>
      </c>
      <c r="C8" s="97"/>
      <c r="D8" s="97"/>
      <c r="E8" s="97"/>
      <c r="F8" s="98"/>
      <c r="G8" s="1"/>
    </row>
    <row r="9" spans="1:7" ht="15" customHeight="1" x14ac:dyDescent="0.45">
      <c r="A9" s="1"/>
      <c r="B9" s="42" t="s">
        <v>157</v>
      </c>
      <c r="C9" s="93" t="s">
        <v>11</v>
      </c>
      <c r="D9" s="95"/>
      <c r="E9" s="93" t="s">
        <v>34</v>
      </c>
      <c r="F9" s="95"/>
      <c r="G9" s="1"/>
    </row>
    <row r="10" spans="1:7" x14ac:dyDescent="0.45">
      <c r="A10" s="1"/>
      <c r="B10" s="25" t="s">
        <v>238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dXY2t3Qu7LmAt/Zx1CBARtgwDsSdDF9kqmD4BC8Sw4EE0mx82bcHELkVrzHhdNrVhg+vjD75hPme6HcWeHEKoA==" saltValue="WOeae4sKwqxEiBuYvKiqg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3" t="s">
        <v>212</v>
      </c>
      <c r="C3" s="83"/>
      <c r="D3" s="83"/>
      <c r="E3" s="83"/>
      <c r="F3" s="83"/>
      <c r="G3" s="1"/>
    </row>
    <row r="4" spans="1:7" ht="25.5" customHeight="1" x14ac:dyDescent="0.45">
      <c r="A4" s="1"/>
      <c r="B4" s="83"/>
      <c r="C4" s="83"/>
      <c r="D4" s="83"/>
      <c r="E4" s="83"/>
      <c r="F4" s="8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6" t="s">
        <v>111</v>
      </c>
      <c r="C8" s="97"/>
      <c r="D8" s="97"/>
      <c r="E8" s="97"/>
      <c r="F8" s="98"/>
      <c r="G8" s="1"/>
    </row>
    <row r="9" spans="1:7" ht="15" customHeight="1" x14ac:dyDescent="0.45">
      <c r="A9" s="1"/>
      <c r="B9" s="42" t="s">
        <v>17</v>
      </c>
      <c r="C9" s="42" t="s">
        <v>11</v>
      </c>
      <c r="D9" s="43"/>
      <c r="E9" s="42" t="s">
        <v>34</v>
      </c>
      <c r="F9" s="43"/>
      <c r="G9" s="1"/>
    </row>
    <row r="10" spans="1:7" x14ac:dyDescent="0.45">
      <c r="A10" s="1"/>
      <c r="B10" s="25" t="s">
        <v>239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6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46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96" t="s">
        <v>110</v>
      </c>
      <c r="C15" s="97"/>
      <c r="D15" s="97"/>
      <c r="E15" s="97"/>
      <c r="F15" s="98"/>
      <c r="G15" s="1"/>
    </row>
    <row r="16" spans="1:7" x14ac:dyDescent="0.45">
      <c r="A16" s="1"/>
      <c r="B16" s="42" t="s">
        <v>17</v>
      </c>
      <c r="C16" s="42" t="s">
        <v>11</v>
      </c>
      <c r="D16" s="43"/>
      <c r="E16" s="42" t="s">
        <v>34</v>
      </c>
      <c r="F16" s="43"/>
      <c r="G16" s="1"/>
    </row>
    <row r="17" spans="1:7" x14ac:dyDescent="0.45">
      <c r="A17" s="1"/>
      <c r="B17" s="25" t="s">
        <v>239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45">
      <c r="A18" s="1"/>
      <c r="B18" s="46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45">
      <c r="A19" s="1"/>
      <c r="B19" s="46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96" t="s">
        <v>112</v>
      </c>
      <c r="C22" s="97"/>
      <c r="D22" s="97"/>
      <c r="E22" s="97"/>
      <c r="F22" s="98"/>
      <c r="G22" s="1"/>
    </row>
    <row r="23" spans="1:7" x14ac:dyDescent="0.45">
      <c r="A23" s="1"/>
      <c r="B23" s="42" t="s">
        <v>17</v>
      </c>
      <c r="C23" s="42" t="s">
        <v>11</v>
      </c>
      <c r="D23" s="43"/>
      <c r="E23" s="42" t="s">
        <v>34</v>
      </c>
      <c r="F23" s="43"/>
      <c r="G23" s="1"/>
    </row>
    <row r="24" spans="1:7" x14ac:dyDescent="0.45">
      <c r="A24" s="1"/>
      <c r="B24" s="25" t="s">
        <v>239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45">
      <c r="A25" s="1"/>
      <c r="B25" s="46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45">
      <c r="A26" s="1"/>
      <c r="B26" s="46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6" t="s">
        <v>182</v>
      </c>
      <c r="C29" s="97"/>
      <c r="D29" s="97"/>
      <c r="E29" s="97"/>
      <c r="F29" s="98"/>
      <c r="G29" s="1"/>
    </row>
    <row r="30" spans="1:7" x14ac:dyDescent="0.45">
      <c r="A30" s="1"/>
      <c r="B30" s="42" t="s">
        <v>17</v>
      </c>
      <c r="C30" s="42" t="s">
        <v>11</v>
      </c>
      <c r="D30" s="43"/>
      <c r="E30" s="42" t="s">
        <v>34</v>
      </c>
      <c r="F30" s="43"/>
      <c r="G30" s="1"/>
    </row>
    <row r="31" spans="1:7" x14ac:dyDescent="0.45">
      <c r="A31" s="1"/>
      <c r="B31" s="25" t="s">
        <v>239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45">
      <c r="A32" s="1"/>
      <c r="B32" s="46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45">
      <c r="A33" s="1"/>
      <c r="B33" s="46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ZiGC7BiZPFcHj+HErg+AIeZ8PliXfn8076Rp/0BkWUBm+q/2u36sS7JW/iqsZdq+av62eL8IGim5hPyXdYdb0Q==" saltValue="WSAjokQGB3klHDjC9IOWs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6.1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3" t="s">
        <v>211</v>
      </c>
      <c r="C3" s="83"/>
      <c r="D3" s="1"/>
    </row>
    <row r="4" spans="1:4" ht="25.5" customHeight="1" x14ac:dyDescent="0.45">
      <c r="A4" s="1"/>
      <c r="B4" s="83"/>
      <c r="C4" s="83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6" t="s">
        <v>14</v>
      </c>
      <c r="C8" s="20"/>
      <c r="D8" s="1"/>
    </row>
    <row r="9" spans="1:4" x14ac:dyDescent="0.45">
      <c r="A9" s="1"/>
      <c r="B9" s="49" t="s">
        <v>141</v>
      </c>
      <c r="C9" s="26">
        <v>1.2699999999999999E-2</v>
      </c>
      <c r="D9" s="1"/>
    </row>
    <row r="10" spans="1:4" x14ac:dyDescent="0.45">
      <c r="A10" s="1"/>
      <c r="B10" s="49" t="s">
        <v>22</v>
      </c>
      <c r="C10" s="26">
        <v>1.7500000000000002E-2</v>
      </c>
      <c r="D10" s="1"/>
    </row>
    <row r="11" spans="1:4" x14ac:dyDescent="0.45">
      <c r="A11" s="1"/>
      <c r="B11" s="49" t="s">
        <v>142</v>
      </c>
      <c r="C11" s="26">
        <v>1.6899999999999998E-2</v>
      </c>
      <c r="D11" s="1"/>
    </row>
    <row r="12" spans="1:4" x14ac:dyDescent="0.45">
      <c r="A12" s="1"/>
      <c r="B12" s="34" t="s">
        <v>47</v>
      </c>
      <c r="C12" s="35">
        <v>1.9699999999999999E-2</v>
      </c>
      <c r="D12" s="1"/>
    </row>
    <row r="13" spans="1:4" x14ac:dyDescent="0.45">
      <c r="A13" s="1"/>
      <c r="B13" s="34" t="s">
        <v>178</v>
      </c>
      <c r="C13" s="35">
        <v>1.2200000000000001E-2</v>
      </c>
      <c r="D13" s="1"/>
    </row>
    <row r="14" spans="1:4" x14ac:dyDescent="0.45">
      <c r="A14" s="1"/>
      <c r="B14" s="96"/>
      <c r="C14" s="98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6" t="s">
        <v>126</v>
      </c>
      <c r="C17" s="20"/>
      <c r="D17" s="1"/>
    </row>
    <row r="18" spans="1:4" x14ac:dyDescent="0.45">
      <c r="A18" s="1"/>
      <c r="B18" s="49" t="s">
        <v>143</v>
      </c>
      <c r="C18" s="23">
        <v>9.1000000000000004E-3</v>
      </c>
      <c r="D18" s="1"/>
    </row>
    <row r="19" spans="1:4" x14ac:dyDescent="0.45">
      <c r="A19" s="1"/>
      <c r="B19" s="49" t="s">
        <v>144</v>
      </c>
      <c r="C19" s="23">
        <v>1.77E-2</v>
      </c>
      <c r="D19" s="1"/>
    </row>
    <row r="20" spans="1:4" x14ac:dyDescent="0.45">
      <c r="A20" s="1"/>
      <c r="B20" s="49" t="s">
        <v>145</v>
      </c>
      <c r="C20" s="23">
        <v>8.6999999999999994E-3</v>
      </c>
      <c r="D20" s="1"/>
    </row>
    <row r="21" spans="1:4" x14ac:dyDescent="0.45">
      <c r="A21" s="1"/>
      <c r="B21" s="49" t="s">
        <v>146</v>
      </c>
      <c r="C21" s="36">
        <v>2.8400000000000002E-2</v>
      </c>
      <c r="D21" s="1"/>
    </row>
    <row r="22" spans="1:4" x14ac:dyDescent="0.45">
      <c r="A22" s="1"/>
      <c r="B22" s="49" t="s">
        <v>186</v>
      </c>
      <c r="C22" s="36">
        <v>2.75E-2</v>
      </c>
      <c r="D22" s="1"/>
    </row>
    <row r="23" spans="1:4" x14ac:dyDescent="0.45">
      <c r="A23" s="1"/>
      <c r="B23" s="46"/>
      <c r="C23" s="20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46" t="s">
        <v>127</v>
      </c>
      <c r="C26" s="20"/>
      <c r="D26" s="1"/>
    </row>
    <row r="27" spans="1:4" x14ac:dyDescent="0.45">
      <c r="A27" s="1"/>
      <c r="B27" s="49" t="s">
        <v>147</v>
      </c>
      <c r="C27" s="26">
        <v>0.02</v>
      </c>
      <c r="D27" s="1"/>
    </row>
    <row r="28" spans="1:4" x14ac:dyDescent="0.45">
      <c r="A28" s="1"/>
      <c r="B28" s="46"/>
      <c r="C28" s="20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06J+7MPgxSxGajGMN96s1krafBmcrovbc9YJQ/eiRluD0SvVlXR2HfB6Eti+4d+FLhrk9DajuuOd79EiJ3Gt7A==" saltValue="3ANEnaLUJfzU/g3OAMJ3GQ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50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6.73046875" style="2" customWidth="1"/>
    <col min="3" max="3" width="12.7304687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161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6" t="s">
        <v>13</v>
      </c>
      <c r="C8" s="47"/>
      <c r="D8" s="20"/>
      <c r="E8" s="1"/>
    </row>
    <row r="9" spans="1:5" x14ac:dyDescent="0.45">
      <c r="A9" s="1"/>
      <c r="B9" s="48" t="s">
        <v>25</v>
      </c>
      <c r="C9" s="7">
        <f>'Fane 3. Omkostninger i ØR2020'!E20</f>
        <v>33134871.458469369</v>
      </c>
      <c r="D9" s="8" t="s">
        <v>3</v>
      </c>
      <c r="E9" s="1"/>
    </row>
    <row r="10" spans="1:5" x14ac:dyDescent="0.45">
      <c r="A10" s="1"/>
      <c r="B10" s="48" t="s">
        <v>241</v>
      </c>
      <c r="C10" s="7">
        <v>-9216.1203587235104</v>
      </c>
      <c r="D10" s="8" t="s">
        <v>3</v>
      </c>
      <c r="E10" s="1"/>
    </row>
    <row r="11" spans="1:5" ht="17.100000000000001" customHeight="1" x14ac:dyDescent="0.45">
      <c r="A11" s="1"/>
      <c r="B11" s="31" t="s">
        <v>45</v>
      </c>
      <c r="C11" s="7">
        <f>'Fane 9.1. Varige tillæg'!C13</f>
        <v>57262.178399999997</v>
      </c>
      <c r="D11" s="8" t="s">
        <v>3</v>
      </c>
      <c r="E11" s="1"/>
    </row>
    <row r="12" spans="1:5" ht="17.100000000000001" customHeight="1" x14ac:dyDescent="0.45">
      <c r="A12" s="1"/>
      <c r="B12" s="31" t="s">
        <v>46</v>
      </c>
      <c r="C12" s="9">
        <f>'Fane 9.1. Varige tillæg'!E13</f>
        <v>1287681.3439559999</v>
      </c>
      <c r="D12" s="8" t="s">
        <v>3</v>
      </c>
      <c r="E12" s="1"/>
    </row>
    <row r="13" spans="1:5" ht="17.100000000000001" customHeight="1" x14ac:dyDescent="0.45">
      <c r="A13" s="1"/>
      <c r="B13" s="31" t="s">
        <v>30</v>
      </c>
      <c r="C13" s="9">
        <f>-'Fane 11. Bortfald'!C12</f>
        <v>0</v>
      </c>
      <c r="D13" s="8" t="s">
        <v>3</v>
      </c>
      <c r="E13" s="1"/>
    </row>
    <row r="14" spans="1:5" ht="17.100000000000001" customHeight="1" x14ac:dyDescent="0.45">
      <c r="A14" s="1"/>
      <c r="B14" s="31" t="s">
        <v>29</v>
      </c>
      <c r="C14" s="9">
        <f>-'Fane 11. Bortfald'!E12</f>
        <v>0</v>
      </c>
      <c r="D14" s="8" t="s">
        <v>3</v>
      </c>
      <c r="E14" s="1"/>
    </row>
    <row r="15" spans="1:5" ht="17.100000000000001" customHeight="1" x14ac:dyDescent="0.45">
      <c r="A15" s="1"/>
      <c r="B15" s="31" t="s">
        <v>159</v>
      </c>
      <c r="C15" s="9">
        <f>'Fane 10. Tilknyttet virksomhed'!C12</f>
        <v>0</v>
      </c>
      <c r="D15" s="8" t="s">
        <v>3</v>
      </c>
      <c r="E15" s="1"/>
    </row>
    <row r="16" spans="1:5" ht="17.100000000000001" customHeight="1" x14ac:dyDescent="0.45">
      <c r="A16" s="1"/>
      <c r="B16" s="31" t="s">
        <v>160</v>
      </c>
      <c r="C16" s="9">
        <f>'Fane 10. Tilknyttet virksomhed'!E12</f>
        <v>0</v>
      </c>
      <c r="D16" s="8" t="s">
        <v>3</v>
      </c>
      <c r="E16" s="1"/>
    </row>
    <row r="17" spans="1:5" ht="17.100000000000001" customHeight="1" x14ac:dyDescent="0.45">
      <c r="A17" s="1"/>
      <c r="B17" s="31" t="s">
        <v>18</v>
      </c>
      <c r="C17" s="9">
        <f>SUM(C9:C16)*'Fane 12. Nøgletal'!C13</f>
        <v>420541.3060976931</v>
      </c>
      <c r="D17" s="8" t="s">
        <v>3</v>
      </c>
      <c r="E17" s="1"/>
    </row>
    <row r="18" spans="1:5" ht="17.100000000000001" customHeight="1" x14ac:dyDescent="0.45">
      <c r="A18" s="1"/>
      <c r="B18" s="31" t="s">
        <v>9</v>
      </c>
      <c r="C18" s="9">
        <f>-SUM(C9:C17)*'Fane 5. Individuelt eff. krav'!G10</f>
        <v>-503143.34576924372</v>
      </c>
      <c r="D18" s="8" t="s">
        <v>3</v>
      </c>
      <c r="E18" s="1"/>
    </row>
    <row r="19" spans="1:5" ht="17.100000000000001" customHeight="1" x14ac:dyDescent="0.45">
      <c r="A19" s="1"/>
      <c r="B19" s="31" t="s">
        <v>27</v>
      </c>
      <c r="C19" s="9">
        <f>-'Fane 4.1. Gen. krav - drift'!G31</f>
        <v>-243623.88199249626</v>
      </c>
      <c r="D19" s="8" t="s">
        <v>3</v>
      </c>
      <c r="E19" s="1"/>
    </row>
    <row r="20" spans="1:5" ht="17.100000000000001" customHeight="1" x14ac:dyDescent="0.45">
      <c r="A20" s="1"/>
      <c r="B20" s="31" t="s">
        <v>28</v>
      </c>
      <c r="C20" s="9">
        <f>-'Fane 4.2. Gen. krav - anlæg'!G31</f>
        <v>-695001.16409017332</v>
      </c>
      <c r="D20" s="8" t="s">
        <v>3</v>
      </c>
      <c r="E20" s="1"/>
    </row>
    <row r="21" spans="1:5" ht="17.100000000000001" customHeight="1" x14ac:dyDescent="0.45">
      <c r="A21" s="1"/>
      <c r="B21" s="50" t="s">
        <v>20</v>
      </c>
      <c r="C21" s="10">
        <f>SUM(C9:C20)</f>
        <v>33449371.774712428</v>
      </c>
      <c r="D21" s="11" t="s">
        <v>3</v>
      </c>
      <c r="E21" s="1"/>
    </row>
    <row r="22" spans="1:5" ht="15" customHeight="1" x14ac:dyDescent="0.45">
      <c r="A22" s="1"/>
      <c r="B22" s="46" t="s">
        <v>12</v>
      </c>
      <c r="C22" s="47"/>
      <c r="D22" s="20"/>
      <c r="E22" s="1"/>
    </row>
    <row r="23" spans="1:5" ht="15" customHeight="1" x14ac:dyDescent="0.45">
      <c r="A23" s="1"/>
      <c r="B23" s="42" t="s">
        <v>12</v>
      </c>
      <c r="C23" s="10">
        <f>'Fane 6. Ikke-påvirkelige omk.'!C16</f>
        <v>10888505.785379821</v>
      </c>
      <c r="D23" s="11" t="s">
        <v>3</v>
      </c>
      <c r="E23" s="1"/>
    </row>
    <row r="24" spans="1:5" ht="15" customHeight="1" x14ac:dyDescent="0.45">
      <c r="A24" s="1"/>
      <c r="B24" s="46" t="s">
        <v>99</v>
      </c>
      <c r="C24" s="47"/>
      <c r="D24" s="20"/>
      <c r="E24" s="1"/>
    </row>
    <row r="25" spans="1:5" ht="15" customHeight="1" x14ac:dyDescent="0.45">
      <c r="A25" s="1"/>
      <c r="B25" s="31" t="s">
        <v>95</v>
      </c>
      <c r="C25" s="9">
        <f>'Fane 9.2. Engangstillæg'!C14</f>
        <v>223863.97033863151</v>
      </c>
      <c r="D25" s="8" t="s">
        <v>3</v>
      </c>
      <c r="E25" s="1"/>
    </row>
    <row r="26" spans="1:5" ht="15" customHeight="1" x14ac:dyDescent="0.45">
      <c r="A26" s="1"/>
      <c r="B26" s="31" t="s">
        <v>96</v>
      </c>
      <c r="C26" s="9">
        <f>'Fane 9.2. Engangstillæg'!E14</f>
        <v>0</v>
      </c>
      <c r="D26" s="8" t="s">
        <v>3</v>
      </c>
      <c r="E26" s="1"/>
    </row>
    <row r="27" spans="1:5" x14ac:dyDescent="0.45">
      <c r="A27" s="1"/>
      <c r="B27" s="50" t="s">
        <v>100</v>
      </c>
      <c r="C27" s="10">
        <f>SUM(C25:C26)</f>
        <v>223863.97033863151</v>
      </c>
      <c r="D27" s="11" t="s">
        <v>3</v>
      </c>
      <c r="E27" s="1"/>
    </row>
    <row r="28" spans="1:5" ht="15" customHeight="1" x14ac:dyDescent="0.45">
      <c r="A28" s="1"/>
      <c r="B28" s="38" t="s">
        <v>204</v>
      </c>
      <c r="C28" s="47"/>
      <c r="D28" s="20"/>
      <c r="E28" s="1"/>
    </row>
    <row r="29" spans="1:5" x14ac:dyDescent="0.45">
      <c r="A29" s="1"/>
      <c r="B29" s="39" t="s">
        <v>205</v>
      </c>
      <c r="C29" s="10">
        <f>'Fane 7. Kontrol af ØR2019'!E39</f>
        <v>-244624.51893438771</v>
      </c>
      <c r="D29" s="11" t="s">
        <v>3</v>
      </c>
      <c r="E29" s="1"/>
    </row>
    <row r="30" spans="1:5" x14ac:dyDescent="0.45">
      <c r="A30" s="1"/>
      <c r="B30" s="38" t="s">
        <v>242</v>
      </c>
      <c r="C30" s="47"/>
      <c r="D30" s="20"/>
      <c r="E30" s="1"/>
    </row>
    <row r="31" spans="1:5" x14ac:dyDescent="0.45">
      <c r="A31" s="1"/>
      <c r="B31" s="39" t="s">
        <v>243</v>
      </c>
      <c r="C31" s="10">
        <v>327.41256261736424</v>
      </c>
      <c r="D31" s="11" t="s">
        <v>3</v>
      </c>
      <c r="E31" s="1"/>
    </row>
    <row r="32" spans="1:5" x14ac:dyDescent="0.45">
      <c r="A32" s="1"/>
      <c r="B32" s="46" t="s">
        <v>31</v>
      </c>
      <c r="C32" s="32">
        <f>SUM(C21,C23,C27,C29,C31)</f>
        <v>44317444.424059115</v>
      </c>
      <c r="D32" s="20" t="s">
        <v>3</v>
      </c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</sheetData>
  <sheetProtection algorithmName="SHA-512" hashValue="QLXjgTB9lqRRJMUfMvXCaQQWiR+EYHz8waHFRkBEyhyOnpM2IX5J38DXvDa7k6pZ/HCuP/4BRGCA0PLGdnmeWw==" saltValue="M31JAPnXtJPxaSmDxuS8u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398437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162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74"/>
      <c r="C5" s="74"/>
      <c r="D5" s="74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6" t="s">
        <v>13</v>
      </c>
      <c r="C8" s="47"/>
      <c r="D8" s="20"/>
      <c r="E8" s="1"/>
    </row>
    <row r="9" spans="1:5" ht="15" customHeight="1" x14ac:dyDescent="0.45">
      <c r="A9" s="1"/>
      <c r="B9" s="48" t="s">
        <v>26</v>
      </c>
      <c r="C9" s="7">
        <f>'Fane 2.1. Økonomisk ramme 2021'!C21</f>
        <v>33449371.774712428</v>
      </c>
      <c r="D9" s="8" t="s">
        <v>3</v>
      </c>
      <c r="E9" s="1"/>
    </row>
    <row r="10" spans="1:5" ht="15" customHeight="1" x14ac:dyDescent="0.4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4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45">
      <c r="A12" s="1"/>
      <c r="B12" s="40" t="s">
        <v>18</v>
      </c>
      <c r="C12" s="9">
        <f>SUM(C9:C11)*'Fane 12. Nøgletal'!C13</f>
        <v>408082.33565149165</v>
      </c>
      <c r="D12" s="8" t="s">
        <v>3</v>
      </c>
      <c r="E12" s="1"/>
    </row>
    <row r="13" spans="1:5" ht="15" customHeight="1" x14ac:dyDescent="0.45">
      <c r="A13" s="1"/>
      <c r="B13" s="40" t="s">
        <v>9</v>
      </c>
      <c r="C13" s="9">
        <f>-SUM(C9:C12)*'Fane 5. Individuelt eff. krav'!G10</f>
        <v>-488237.20460249309</v>
      </c>
      <c r="D13" s="8" t="s">
        <v>3</v>
      </c>
      <c r="E13" s="1"/>
    </row>
    <row r="14" spans="1:5" ht="15" customHeight="1" x14ac:dyDescent="0.45">
      <c r="A14" s="1"/>
      <c r="B14" s="40" t="s">
        <v>27</v>
      </c>
      <c r="C14" s="9">
        <f>-'Fane 4.1. Gen. krav - drift'!G37</f>
        <v>-241664.17148574861</v>
      </c>
      <c r="D14" s="8" t="s">
        <v>3</v>
      </c>
      <c r="E14" s="1"/>
    </row>
    <row r="15" spans="1:5" ht="15" customHeight="1" x14ac:dyDescent="0.45">
      <c r="A15" s="1"/>
      <c r="B15" s="40" t="s">
        <v>28</v>
      </c>
      <c r="C15" s="9">
        <f>-'Fane 4.2. Gen. krav - anlæg'!G37</f>
        <v>-684134.47338904126</v>
      </c>
      <c r="D15" s="8" t="s">
        <v>3</v>
      </c>
      <c r="E15" s="1"/>
    </row>
    <row r="16" spans="1:5" ht="15" customHeight="1" x14ac:dyDescent="0.45">
      <c r="A16" s="1"/>
      <c r="B16" s="41" t="s">
        <v>20</v>
      </c>
      <c r="C16" s="10">
        <f>SUM(C9:C15)</f>
        <v>32443418.260886639</v>
      </c>
      <c r="D16" s="11" t="s">
        <v>3</v>
      </c>
      <c r="E16" s="1"/>
    </row>
    <row r="17" spans="1:5" x14ac:dyDescent="0.45">
      <c r="A17" s="1"/>
      <c r="B17" s="46" t="s">
        <v>12</v>
      </c>
      <c r="C17" s="47"/>
      <c r="D17" s="20"/>
      <c r="E17" s="1"/>
    </row>
    <row r="18" spans="1:5" ht="15" customHeight="1" x14ac:dyDescent="0.45">
      <c r="A18" s="1"/>
      <c r="B18" s="42" t="s">
        <v>12</v>
      </c>
      <c r="C18" s="10">
        <f>'Fane 6. Ikke-påvirkelige omk.'!C16*(1+'Fane 12. Nøgletal'!C13)</f>
        <v>11021345.555961454</v>
      </c>
      <c r="D18" s="11" t="s">
        <v>3</v>
      </c>
      <c r="E18" s="1"/>
    </row>
    <row r="19" spans="1:5" ht="15" customHeight="1" x14ac:dyDescent="0.45">
      <c r="A19" s="1"/>
      <c r="B19" s="46" t="s">
        <v>99</v>
      </c>
      <c r="C19" s="47"/>
      <c r="D19" s="20"/>
      <c r="E19" s="1"/>
    </row>
    <row r="20" spans="1:5" ht="15" customHeight="1" x14ac:dyDescent="0.4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4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45">
      <c r="A22" s="1"/>
      <c r="B22" s="50" t="s">
        <v>100</v>
      </c>
      <c r="C22" s="10">
        <f>SUM(C20:C21)</f>
        <v>0</v>
      </c>
      <c r="D22" s="11" t="s">
        <v>3</v>
      </c>
      <c r="E22" s="1"/>
    </row>
    <row r="23" spans="1:5" x14ac:dyDescent="0.45">
      <c r="A23" s="1"/>
      <c r="B23" s="38" t="s">
        <v>204</v>
      </c>
      <c r="C23" s="47"/>
      <c r="D23" s="20"/>
      <c r="E23" s="1"/>
    </row>
    <row r="24" spans="1:5" ht="15" customHeight="1" x14ac:dyDescent="0.45">
      <c r="A24" s="1"/>
      <c r="B24" s="51" t="s">
        <v>205</v>
      </c>
      <c r="C24" s="10">
        <f>'Fane 7. Kontrol af ØR2019'!E39</f>
        <v>-244624.51893438771</v>
      </c>
      <c r="D24" s="11" t="s">
        <v>3</v>
      </c>
      <c r="E24" s="1"/>
    </row>
    <row r="25" spans="1:5" x14ac:dyDescent="0.45">
      <c r="A25" s="1"/>
      <c r="B25" s="46" t="s">
        <v>32</v>
      </c>
      <c r="C25" s="12">
        <f>SUM(C16,C18,C22,C24)</f>
        <v>43220139.2979137</v>
      </c>
      <c r="D25" s="13" t="s">
        <v>3</v>
      </c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aEinzWtnkEZce14JhkBYn5bIumn/ygn8wkDzc6LJGaQ6UAjhdnP0NsbzONmgQUie2wJJjs9IlK4ibanI/ELdoQ==" saltValue="s724/Imb3AHS8UPejOAVC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2656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163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74" t="s">
        <v>21</v>
      </c>
      <c r="C5" s="74"/>
      <c r="D5" s="74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6" t="s">
        <v>13</v>
      </c>
      <c r="C7" s="47"/>
      <c r="D7" s="20"/>
      <c r="E7" s="1"/>
    </row>
    <row r="8" spans="1:5" ht="15" customHeight="1" x14ac:dyDescent="0.45">
      <c r="A8" s="1"/>
      <c r="B8" s="48" t="s">
        <v>165</v>
      </c>
      <c r="C8" s="7">
        <f>'Fane 2.2. Økonomisk ramme 2022'!C16</f>
        <v>32443418.260886639</v>
      </c>
      <c r="D8" s="8" t="s">
        <v>3</v>
      </c>
      <c r="E8" s="1"/>
    </row>
    <row r="9" spans="1:5" ht="15" customHeight="1" x14ac:dyDescent="0.45">
      <c r="A9" s="1"/>
      <c r="B9" s="48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45">
      <c r="A10" s="1"/>
      <c r="B10" s="48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45">
      <c r="A11" s="1"/>
      <c r="B11" s="40" t="s">
        <v>18</v>
      </c>
      <c r="C11" s="9">
        <f>SUM(C8:C10)*'Fane 12. Nøgletal'!C13</f>
        <v>395809.70278281701</v>
      </c>
      <c r="D11" s="8" t="s">
        <v>3</v>
      </c>
      <c r="E11" s="1"/>
    </row>
    <row r="12" spans="1:5" ht="15" customHeight="1" x14ac:dyDescent="0.45">
      <c r="A12" s="1"/>
      <c r="B12" s="40" t="s">
        <v>9</v>
      </c>
      <c r="C12" s="9">
        <f>-SUM(C8:C11)*'Fane 5. Individuelt eff. krav'!G10</f>
        <v>-473554.00113731885</v>
      </c>
      <c r="D12" s="8" t="s">
        <v>3</v>
      </c>
      <c r="E12" s="1"/>
    </row>
    <row r="13" spans="1:5" ht="15" customHeight="1" x14ac:dyDescent="0.45">
      <c r="A13" s="1"/>
      <c r="B13" s="40" t="s">
        <v>27</v>
      </c>
      <c r="C13" s="9">
        <f>-'Fane 4.1. Gen. krav - drift'!G43</f>
        <v>-239720.22489031724</v>
      </c>
      <c r="D13" s="8" t="s">
        <v>3</v>
      </c>
      <c r="E13" s="1"/>
    </row>
    <row r="14" spans="1:5" ht="15" customHeight="1" x14ac:dyDescent="0.45">
      <c r="A14" s="1"/>
      <c r="B14" s="40" t="s">
        <v>28</v>
      </c>
      <c r="C14" s="9">
        <f>-'Fane 4.2. Gen. krav - anlæg'!G43</f>
        <v>-673437.68883036694</v>
      </c>
      <c r="D14" s="8" t="s">
        <v>3</v>
      </c>
      <c r="E14" s="1"/>
    </row>
    <row r="15" spans="1:5" x14ac:dyDescent="0.45">
      <c r="A15" s="1"/>
      <c r="B15" s="41" t="s">
        <v>20</v>
      </c>
      <c r="C15" s="10">
        <f>SUM(C8:C14)</f>
        <v>31452516.048811451</v>
      </c>
      <c r="D15" s="11" t="s">
        <v>3</v>
      </c>
      <c r="E15" s="1"/>
    </row>
    <row r="16" spans="1:5" x14ac:dyDescent="0.45">
      <c r="A16" s="1"/>
      <c r="B16" s="46" t="s">
        <v>12</v>
      </c>
      <c r="C16" s="47"/>
      <c r="D16" s="20"/>
      <c r="E16" s="1"/>
    </row>
    <row r="17" spans="1:5" ht="15" customHeight="1" x14ac:dyDescent="0.45">
      <c r="A17" s="1"/>
      <c r="B17" s="42" t="s">
        <v>12</v>
      </c>
      <c r="C17" s="10">
        <f>'Fane 6. Ikke-påvirkelige omk.'!C16*(1+'Fane 12. Nøgletal'!C13)^2</f>
        <v>11155805.971744185</v>
      </c>
      <c r="D17" s="11" t="s">
        <v>3</v>
      </c>
      <c r="E17" s="1"/>
    </row>
    <row r="18" spans="1:5" ht="15" customHeight="1" x14ac:dyDescent="0.45">
      <c r="A18" s="1"/>
      <c r="B18" s="46" t="s">
        <v>99</v>
      </c>
      <c r="C18" s="47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45">
      <c r="A21" s="1"/>
      <c r="B21" s="50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45">
      <c r="A22" s="1"/>
      <c r="B22" s="46" t="s">
        <v>109</v>
      </c>
      <c r="C22" s="12">
        <f>SUM(C15,C17,C21)</f>
        <v>42608322.020555638</v>
      </c>
      <c r="D22" s="13" t="s">
        <v>3</v>
      </c>
      <c r="E22" s="1"/>
    </row>
    <row r="23" spans="1:5" ht="15" customHeight="1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4sZeM3MsF2QkbgylHg5gHZBxJ5TvKrAf/S3KhuA6FbWLc1yQfE41ElmYB4x1toL6Oh5d0Ux7Cjj1XnmhalgCRQ==" saltValue="/SN1o4mrr+bvT01NDOLq/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164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74" t="s">
        <v>21</v>
      </c>
      <c r="C5" s="74"/>
      <c r="D5" s="74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6" t="s">
        <v>13</v>
      </c>
      <c r="C7" s="47"/>
      <c r="D7" s="20"/>
      <c r="E7" s="1"/>
    </row>
    <row r="8" spans="1:5" ht="15" customHeight="1" x14ac:dyDescent="0.45">
      <c r="A8" s="1"/>
      <c r="B8" s="48" t="s">
        <v>166</v>
      </c>
      <c r="C8" s="7">
        <f>'Fane 2.3. Økonomisk ramme 2023'!C15</f>
        <v>31452516.048811451</v>
      </c>
      <c r="D8" s="8" t="s">
        <v>3</v>
      </c>
      <c r="E8" s="1"/>
    </row>
    <row r="9" spans="1:5" ht="15" customHeight="1" x14ac:dyDescent="0.45">
      <c r="A9" s="1"/>
      <c r="B9" s="48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45">
      <c r="A10" s="1"/>
      <c r="B10" s="48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45">
      <c r="A11" s="1"/>
      <c r="B11" s="40" t="s">
        <v>18</v>
      </c>
      <c r="C11" s="9">
        <f>SUM(C8:C10)*'Fane 12. Nøgletal'!C13</f>
        <v>383720.69579549972</v>
      </c>
      <c r="D11" s="8" t="s">
        <v>3</v>
      </c>
      <c r="E11" s="1"/>
    </row>
    <row r="12" spans="1:5" ht="15" customHeight="1" x14ac:dyDescent="0.45">
      <c r="A12" s="1"/>
      <c r="B12" s="40" t="s">
        <v>9</v>
      </c>
      <c r="C12" s="9">
        <f>-SUM(C8:C11)*'Fane 5. Individuelt eff. krav'!G10</f>
        <v>-459090.49105059833</v>
      </c>
      <c r="D12" s="8" t="s">
        <v>3</v>
      </c>
      <c r="E12" s="1"/>
    </row>
    <row r="13" spans="1:5" ht="15" customHeight="1" x14ac:dyDescent="0.45">
      <c r="A13" s="1"/>
      <c r="B13" s="40" t="s">
        <v>27</v>
      </c>
      <c r="C13" s="9">
        <f>-'Fane 4.1. Gen. krav - drift'!G49</f>
        <v>-237791.91540129951</v>
      </c>
      <c r="D13" s="8" t="s">
        <v>3</v>
      </c>
      <c r="E13" s="1"/>
    </row>
    <row r="14" spans="1:5" ht="15" customHeight="1" x14ac:dyDescent="0.45">
      <c r="A14" s="1"/>
      <c r="B14" s="40" t="s">
        <v>28</v>
      </c>
      <c r="C14" s="9">
        <f>-'Fane 4.2. Gen. krav - anlæg'!G49</f>
        <v>-662908.1538466597</v>
      </c>
      <c r="D14" s="8" t="s">
        <v>3</v>
      </c>
      <c r="E14" s="1"/>
    </row>
    <row r="15" spans="1:5" x14ac:dyDescent="0.45">
      <c r="A15" s="1"/>
      <c r="B15" s="41" t="s">
        <v>20</v>
      </c>
      <c r="C15" s="10">
        <f>SUM(C8:C14)</f>
        <v>30476446.184308395</v>
      </c>
      <c r="D15" s="11" t="s">
        <v>3</v>
      </c>
      <c r="E15" s="1"/>
    </row>
    <row r="16" spans="1:5" x14ac:dyDescent="0.45">
      <c r="A16" s="1"/>
      <c r="B16" s="46" t="s">
        <v>12</v>
      </c>
      <c r="C16" s="47"/>
      <c r="D16" s="20"/>
      <c r="E16" s="1"/>
    </row>
    <row r="17" spans="1:5" ht="15" customHeight="1" x14ac:dyDescent="0.45">
      <c r="A17" s="1"/>
      <c r="B17" s="42" t="s">
        <v>12</v>
      </c>
      <c r="C17" s="10">
        <f>'Fane 6. Ikke-påvirkelige omk.'!C16*(1+'Fane 12. Nøgletal'!C13)^3</f>
        <v>11291906.804599464</v>
      </c>
      <c r="D17" s="11" t="s">
        <v>3</v>
      </c>
      <c r="E17" s="1"/>
    </row>
    <row r="18" spans="1:5" ht="15" customHeight="1" x14ac:dyDescent="0.45">
      <c r="A18" s="1"/>
      <c r="B18" s="46" t="s">
        <v>99</v>
      </c>
      <c r="C18" s="47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45">
      <c r="A21" s="1"/>
      <c r="B21" s="50" t="s">
        <v>100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46" t="s">
        <v>240</v>
      </c>
      <c r="C22" s="12">
        <f>SUM(C15,C17,C21)</f>
        <v>41768352.988907859</v>
      </c>
      <c r="D22" s="13" t="s">
        <v>3</v>
      </c>
      <c r="E22" s="1"/>
    </row>
    <row r="23" spans="1:5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Z3n5UPEYNuI6Z2p2HU35ylI2tsYA64RZuZTQzd6UtbV1XfDQ3AccYq96eDzT0LdGS75Hn42Rch6DdW3MqTulMw==" saltValue="v2RtGpv1p8k8RN1L4Oiyl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3984375" style="2" customWidth="1"/>
    <col min="5" max="5" width="9.863281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3" t="s">
        <v>180</v>
      </c>
      <c r="C3" s="83"/>
      <c r="D3" s="83"/>
      <c r="E3" s="83"/>
      <c r="F3" s="83"/>
      <c r="G3" s="1"/>
    </row>
    <row r="4" spans="1:7" ht="29.25" customHeight="1" x14ac:dyDescent="0.45">
      <c r="A4" s="1"/>
      <c r="B4" s="83"/>
      <c r="C4" s="83"/>
      <c r="D4" s="83"/>
      <c r="E4" s="83"/>
      <c r="F4" s="8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6" t="s">
        <v>167</v>
      </c>
      <c r="C8" s="47"/>
      <c r="D8" s="47"/>
      <c r="E8" s="47"/>
      <c r="F8" s="20"/>
      <c r="G8" s="1"/>
    </row>
    <row r="9" spans="1:7" x14ac:dyDescent="0.45">
      <c r="A9" s="1"/>
      <c r="B9" s="84" t="s">
        <v>23</v>
      </c>
      <c r="C9" s="85"/>
      <c r="D9" s="86"/>
      <c r="E9" s="7">
        <v>33536350.427896276</v>
      </c>
      <c r="F9" s="8" t="s">
        <v>3</v>
      </c>
      <c r="G9" s="1"/>
    </row>
    <row r="10" spans="1:7" ht="15" customHeight="1" x14ac:dyDescent="0.45">
      <c r="A10" s="1"/>
      <c r="B10" s="75" t="s">
        <v>45</v>
      </c>
      <c r="C10" s="76"/>
      <c r="D10" s="77"/>
      <c r="E10" s="7">
        <v>0</v>
      </c>
      <c r="F10" s="8" t="s">
        <v>3</v>
      </c>
      <c r="G10" s="1"/>
    </row>
    <row r="11" spans="1:7" ht="15" customHeight="1" x14ac:dyDescent="0.45">
      <c r="A11" s="1"/>
      <c r="B11" s="75" t="s">
        <v>46</v>
      </c>
      <c r="C11" s="76"/>
      <c r="D11" s="77"/>
      <c r="E11" s="9">
        <v>136284.78124800001</v>
      </c>
      <c r="F11" s="8" t="s">
        <v>3</v>
      </c>
      <c r="G11" s="1"/>
    </row>
    <row r="12" spans="1:7" x14ac:dyDescent="0.45">
      <c r="A12" s="1"/>
      <c r="B12" s="75" t="s">
        <v>30</v>
      </c>
      <c r="C12" s="76"/>
      <c r="D12" s="77"/>
      <c r="E12" s="9">
        <v>0</v>
      </c>
      <c r="F12" s="8" t="s">
        <v>3</v>
      </c>
      <c r="G12" s="1"/>
    </row>
    <row r="13" spans="1:7" x14ac:dyDescent="0.45">
      <c r="A13" s="1"/>
      <c r="B13" s="75" t="s">
        <v>29</v>
      </c>
      <c r="C13" s="76"/>
      <c r="D13" s="77"/>
      <c r="E13" s="9">
        <v>0</v>
      </c>
      <c r="F13" s="8" t="s">
        <v>3</v>
      </c>
      <c r="G13" s="1"/>
    </row>
    <row r="14" spans="1:7" x14ac:dyDescent="0.45">
      <c r="A14" s="1"/>
      <c r="B14" s="75" t="s">
        <v>159</v>
      </c>
      <c r="C14" s="76"/>
      <c r="D14" s="77"/>
      <c r="E14" s="9">
        <v>0</v>
      </c>
      <c r="F14" s="8" t="s">
        <v>3</v>
      </c>
      <c r="G14" s="1"/>
    </row>
    <row r="15" spans="1:7" x14ac:dyDescent="0.45">
      <c r="A15" s="1"/>
      <c r="B15" s="75" t="s">
        <v>160</v>
      </c>
      <c r="C15" s="76"/>
      <c r="D15" s="77"/>
      <c r="E15" s="9">
        <v>0</v>
      </c>
      <c r="F15" s="8" t="s">
        <v>3</v>
      </c>
      <c r="G15" s="1"/>
    </row>
    <row r="16" spans="1:7" x14ac:dyDescent="0.45">
      <c r="A16" s="1"/>
      <c r="B16" s="75" t="s">
        <v>18</v>
      </c>
      <c r="C16" s="76"/>
      <c r="D16" s="77"/>
      <c r="E16" s="9">
        <f>E9*'Fane 12. Nøgletal'!C11+SUM(E10:E15)*'Fane 12. Nøgletal'!C12</f>
        <v>569449.13242203253</v>
      </c>
      <c r="F16" s="8" t="s">
        <v>3</v>
      </c>
      <c r="G16" s="1"/>
    </row>
    <row r="17" spans="1:7" x14ac:dyDescent="0.45">
      <c r="A17" s="1"/>
      <c r="B17" s="75" t="s">
        <v>9</v>
      </c>
      <c r="C17" s="76"/>
      <c r="D17" s="77"/>
      <c r="E17" s="9">
        <f>-SUM(E9:E16)*'Fane 5. Individuelt eff. krav'!G9</f>
        <v>-652192.03339179186</v>
      </c>
      <c r="F17" s="8" t="s">
        <v>3</v>
      </c>
      <c r="G17" s="1"/>
    </row>
    <row r="18" spans="1:7" x14ac:dyDescent="0.45">
      <c r="A18" s="1"/>
      <c r="B18" s="75" t="s">
        <v>27</v>
      </c>
      <c r="C18" s="76"/>
      <c r="D18" s="77"/>
      <c r="E18" s="9">
        <f>-'Fane 4.1. Gen. krav - drift'!G25</f>
        <v>-244430.86835803874</v>
      </c>
      <c r="F18" s="8" t="s">
        <v>3</v>
      </c>
      <c r="G18" s="1"/>
    </row>
    <row r="19" spans="1:7" x14ac:dyDescent="0.45">
      <c r="A19" s="1"/>
      <c r="B19" s="75" t="s">
        <v>28</v>
      </c>
      <c r="C19" s="76"/>
      <c r="D19" s="77"/>
      <c r="E19" s="9">
        <f>-'Fane 4.2. Gen. krav - anlæg'!G25</f>
        <v>-210589.9813471146</v>
      </c>
      <c r="F19" s="8" t="s">
        <v>3</v>
      </c>
      <c r="G19" s="1"/>
    </row>
    <row r="20" spans="1:7" x14ac:dyDescent="0.45">
      <c r="A20" s="1"/>
      <c r="B20" s="90" t="s">
        <v>20</v>
      </c>
      <c r="C20" s="91"/>
      <c r="D20" s="92"/>
      <c r="E20" s="10">
        <f>SUM(E9:E19)</f>
        <v>33134871.458469369</v>
      </c>
      <c r="F20" s="11" t="s">
        <v>3</v>
      </c>
      <c r="G20" s="1"/>
    </row>
    <row r="21" spans="1:7" x14ac:dyDescent="0.45">
      <c r="A21" s="1"/>
      <c r="B21" s="78" t="s">
        <v>12</v>
      </c>
      <c r="C21" s="79"/>
      <c r="D21" s="79"/>
      <c r="E21" s="47"/>
      <c r="F21" s="20"/>
      <c r="G21" s="1"/>
    </row>
    <row r="22" spans="1:7" x14ac:dyDescent="0.45">
      <c r="A22" s="1"/>
      <c r="B22" s="80" t="s">
        <v>12</v>
      </c>
      <c r="C22" s="81"/>
      <c r="D22" s="82"/>
      <c r="E22" s="10">
        <v>10813320.952842871</v>
      </c>
      <c r="F22" s="11" t="s">
        <v>3</v>
      </c>
      <c r="G22" s="1"/>
    </row>
    <row r="23" spans="1:7" ht="15" customHeight="1" x14ac:dyDescent="0.45">
      <c r="A23" s="1"/>
      <c r="B23" s="78" t="s">
        <v>99</v>
      </c>
      <c r="C23" s="79"/>
      <c r="D23" s="79"/>
      <c r="E23" s="47"/>
      <c r="F23" s="47"/>
      <c r="G23" s="1"/>
    </row>
    <row r="24" spans="1:7" ht="14.25" customHeight="1" x14ac:dyDescent="0.45">
      <c r="A24" s="1"/>
      <c r="B24" s="87" t="s">
        <v>95</v>
      </c>
      <c r="C24" s="88"/>
      <c r="D24" s="89"/>
      <c r="E24" s="9">
        <v>0</v>
      </c>
      <c r="F24" s="8" t="s">
        <v>3</v>
      </c>
      <c r="G24" s="1"/>
    </row>
    <row r="25" spans="1:7" ht="14.25" customHeight="1" x14ac:dyDescent="0.45">
      <c r="A25" s="1"/>
      <c r="B25" s="87" t="s">
        <v>96</v>
      </c>
      <c r="C25" s="88"/>
      <c r="D25" s="89"/>
      <c r="E25" s="9">
        <v>0</v>
      </c>
      <c r="F25" s="8" t="s">
        <v>3</v>
      </c>
      <c r="G25" s="1"/>
    </row>
    <row r="26" spans="1:7" x14ac:dyDescent="0.45">
      <c r="A26" s="1"/>
      <c r="B26" s="93" t="s">
        <v>100</v>
      </c>
      <c r="C26" s="94"/>
      <c r="D26" s="94"/>
      <c r="E26" s="10">
        <v>0</v>
      </c>
      <c r="F26" s="11" t="s">
        <v>3</v>
      </c>
      <c r="G26" s="1"/>
    </row>
    <row r="27" spans="1:7" ht="14.25" customHeight="1" x14ac:dyDescent="0.45">
      <c r="A27" s="1"/>
      <c r="B27" s="46" t="s">
        <v>228</v>
      </c>
      <c r="C27" s="47"/>
      <c r="D27" s="47"/>
      <c r="E27" s="47"/>
      <c r="F27" s="47"/>
      <c r="G27" s="1"/>
    </row>
    <row r="28" spans="1:7" ht="13.15" customHeight="1" x14ac:dyDescent="0.45">
      <c r="A28" s="1"/>
      <c r="B28" s="93" t="s">
        <v>229</v>
      </c>
      <c r="C28" s="94"/>
      <c r="D28" s="95"/>
      <c r="E28" s="10">
        <v>302562</v>
      </c>
      <c r="F28" s="11" t="s">
        <v>3</v>
      </c>
      <c r="G28" s="1"/>
    </row>
    <row r="29" spans="1:7" x14ac:dyDescent="0.45">
      <c r="A29" s="1"/>
      <c r="B29" s="46" t="s">
        <v>230</v>
      </c>
      <c r="C29" s="47"/>
      <c r="D29" s="47"/>
      <c r="E29" s="47"/>
      <c r="F29" s="20"/>
      <c r="G29" s="1"/>
    </row>
    <row r="30" spans="1:7" ht="15" customHeight="1" x14ac:dyDescent="0.45">
      <c r="A30" s="1"/>
      <c r="B30" s="93" t="s">
        <v>231</v>
      </c>
      <c r="C30" s="94"/>
      <c r="D30" s="95"/>
      <c r="E30" s="10">
        <v>-880291.65601567831</v>
      </c>
      <c r="F30" s="11" t="s">
        <v>3</v>
      </c>
      <c r="G30" s="1"/>
    </row>
    <row r="31" spans="1:7" x14ac:dyDescent="0.45">
      <c r="A31" s="1"/>
      <c r="B31" s="46" t="s">
        <v>232</v>
      </c>
      <c r="C31" s="47"/>
      <c r="D31" s="47"/>
      <c r="E31" s="47"/>
      <c r="F31" s="20"/>
      <c r="G31" s="1"/>
    </row>
    <row r="32" spans="1:7" x14ac:dyDescent="0.45">
      <c r="A32" s="1"/>
      <c r="B32" s="80" t="s">
        <v>233</v>
      </c>
      <c r="C32" s="81"/>
      <c r="D32" s="82"/>
      <c r="E32" s="10">
        <v>55517.892612102674</v>
      </c>
      <c r="F32" s="11" t="s">
        <v>3</v>
      </c>
      <c r="G32" s="1"/>
    </row>
    <row r="33" spans="1:7" x14ac:dyDescent="0.45">
      <c r="A33" s="1"/>
      <c r="B33" s="46" t="s">
        <v>24</v>
      </c>
      <c r="C33" s="47"/>
      <c r="D33" s="47"/>
      <c r="E33" s="12">
        <f>SUM(E30,E26,E28,E22,E20,E32)</f>
        <v>43425980.647908658</v>
      </c>
      <c r="F33" s="13" t="s">
        <v>3</v>
      </c>
      <c r="G33" s="1"/>
    </row>
    <row r="34" spans="1:7" ht="28.15" customHeight="1" x14ac:dyDescent="0.45">
      <c r="A34" s="1"/>
      <c r="B34" s="87" t="s">
        <v>179</v>
      </c>
      <c r="C34" s="88"/>
      <c r="D34" s="88"/>
      <c r="E34" s="88"/>
      <c r="F34" s="89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ht="14.25" customHeight="1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</sheetData>
  <sheetProtection algorithmName="SHA-512" hashValue="HWX8MvckhonFMzVc7geGaWPfNh4uip5AOZEzgneilVVaCzqkhblTo8qlJcabVzOMiOMe84XvcZznvd+C6/qAsg==" saltValue="X/UaWKJjoN7U7PUvZGU3+w==" spinCount="100000" sheet="1" objects="1" scenarios="1"/>
  <mergeCells count="23"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  <mergeCell ref="B3:F4"/>
    <mergeCell ref="B9:D9"/>
    <mergeCell ref="B10:D10"/>
    <mergeCell ref="B11:D11"/>
    <mergeCell ref="B12:D12"/>
    <mergeCell ref="B13:D13"/>
    <mergeCell ref="B14:D14"/>
    <mergeCell ref="B15:D15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73" t="s">
        <v>138</v>
      </c>
      <c r="C1" s="73"/>
      <c r="D1" s="73"/>
      <c r="E1" s="73"/>
      <c r="F1" s="73"/>
      <c r="G1" s="73"/>
      <c r="H1" s="73"/>
      <c r="I1" s="1"/>
    </row>
    <row r="2" spans="1:9" ht="15" customHeight="1" x14ac:dyDescent="0.45">
      <c r="A2" s="1"/>
      <c r="B2" s="73"/>
      <c r="C2" s="73"/>
      <c r="D2" s="73"/>
      <c r="E2" s="73"/>
      <c r="F2" s="73"/>
      <c r="G2" s="73"/>
      <c r="H2" s="73"/>
      <c r="I2" s="1"/>
    </row>
    <row r="3" spans="1:9" ht="15" customHeight="1" x14ac:dyDescent="0.45">
      <c r="A3" s="1"/>
      <c r="B3" s="73"/>
      <c r="C3" s="73"/>
      <c r="D3" s="73"/>
      <c r="E3" s="73"/>
      <c r="F3" s="73"/>
      <c r="G3" s="73"/>
      <c r="H3" s="73"/>
      <c r="I3" s="1"/>
    </row>
    <row r="4" spans="1:9" x14ac:dyDescent="0.45">
      <c r="A4" s="1"/>
      <c r="B4" s="96" t="s">
        <v>64</v>
      </c>
      <c r="C4" s="97"/>
      <c r="D4" s="97"/>
      <c r="E4" s="97"/>
      <c r="F4" s="97"/>
      <c r="G4" s="97"/>
      <c r="H4" s="98"/>
      <c r="I4" s="1"/>
    </row>
    <row r="5" spans="1:9" x14ac:dyDescent="0.45">
      <c r="A5" s="1"/>
      <c r="B5" s="99" t="s">
        <v>53</v>
      </c>
      <c r="C5" s="100"/>
      <c r="D5" s="100"/>
      <c r="E5" s="100"/>
      <c r="F5" s="101"/>
      <c r="G5" s="24">
        <v>12399681.308398679</v>
      </c>
      <c r="H5" s="14" t="s">
        <v>3</v>
      </c>
      <c r="I5" s="1"/>
    </row>
    <row r="6" spans="1:9" x14ac:dyDescent="0.45">
      <c r="A6" s="1"/>
      <c r="B6" s="99" t="s">
        <v>54</v>
      </c>
      <c r="C6" s="100"/>
      <c r="D6" s="100"/>
      <c r="E6" s="100"/>
      <c r="F6" s="101"/>
      <c r="G6" s="24">
        <f>G5*'Fane 12. Nøgletal'!C27</f>
        <v>247993.62616797359</v>
      </c>
      <c r="H6" s="14" t="s">
        <v>3</v>
      </c>
      <c r="I6" s="1"/>
    </row>
    <row r="7" spans="1:9" x14ac:dyDescent="0.45">
      <c r="A7" s="1"/>
      <c r="B7" s="46"/>
      <c r="C7" s="47"/>
      <c r="D7" s="47"/>
      <c r="E7" s="47"/>
      <c r="F7" s="47"/>
      <c r="G7" s="47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6" t="s">
        <v>65</v>
      </c>
      <c r="C9" s="97"/>
      <c r="D9" s="97"/>
      <c r="E9" s="97"/>
      <c r="F9" s="97"/>
      <c r="G9" s="97"/>
      <c r="H9" s="98"/>
      <c r="I9" s="1"/>
    </row>
    <row r="10" spans="1:9" x14ac:dyDescent="0.45">
      <c r="A10" s="1"/>
      <c r="B10" s="99" t="s">
        <v>55</v>
      </c>
      <c r="C10" s="100"/>
      <c r="D10" s="100"/>
      <c r="E10" s="100"/>
      <c r="F10" s="101"/>
      <c r="G10" s="24">
        <f>(G5-G6)*(1+'Fane 12. Nøgletal'!C9)</f>
        <v>12306014.115795035</v>
      </c>
      <c r="H10" s="14" t="s">
        <v>3</v>
      </c>
      <c r="I10" s="1"/>
    </row>
    <row r="11" spans="1:9" x14ac:dyDescent="0.45">
      <c r="A11" s="1"/>
      <c r="B11" s="102" t="s">
        <v>56</v>
      </c>
      <c r="C11" s="103"/>
      <c r="D11" s="103"/>
      <c r="E11" s="103"/>
      <c r="F11" s="104"/>
      <c r="G11" s="24">
        <v>0</v>
      </c>
      <c r="H11" s="14" t="s">
        <v>3</v>
      </c>
      <c r="I11" s="1"/>
    </row>
    <row r="12" spans="1:9" x14ac:dyDescent="0.45">
      <c r="A12" s="1"/>
      <c r="B12" s="99" t="s">
        <v>57</v>
      </c>
      <c r="C12" s="100"/>
      <c r="D12" s="100"/>
      <c r="E12" s="100"/>
      <c r="F12" s="101"/>
      <c r="G12" s="24">
        <f>(G10+G11)*'Fane 12. Nøgletal'!C27</f>
        <v>246120.28231590069</v>
      </c>
      <c r="H12" s="14" t="s">
        <v>3</v>
      </c>
      <c r="I12" s="1"/>
    </row>
    <row r="13" spans="1:9" x14ac:dyDescent="0.45">
      <c r="A13" s="1"/>
      <c r="B13" s="46"/>
      <c r="C13" s="47"/>
      <c r="D13" s="47"/>
      <c r="E13" s="47"/>
      <c r="F13" s="47"/>
      <c r="G13" s="47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6" t="s">
        <v>66</v>
      </c>
      <c r="C15" s="97"/>
      <c r="D15" s="97"/>
      <c r="E15" s="97"/>
      <c r="F15" s="97"/>
      <c r="G15" s="97"/>
      <c r="H15" s="98"/>
      <c r="I15" s="1"/>
    </row>
    <row r="16" spans="1:9" x14ac:dyDescent="0.45">
      <c r="A16" s="1"/>
      <c r="B16" s="99" t="s">
        <v>58</v>
      </c>
      <c r="C16" s="100"/>
      <c r="D16" s="100"/>
      <c r="E16" s="100"/>
      <c r="F16" s="101"/>
      <c r="G16" s="24">
        <f>(G10-G12)*(1+'Fane 12. Nøgletal'!C11)</f>
        <v>12263706.03926493</v>
      </c>
      <c r="H16" s="14" t="s">
        <v>3</v>
      </c>
      <c r="I16" s="1"/>
    </row>
    <row r="17" spans="1:9" x14ac:dyDescent="0.45">
      <c r="A17" s="1"/>
      <c r="B17" s="99" t="s">
        <v>148</v>
      </c>
      <c r="C17" s="100"/>
      <c r="D17" s="100"/>
      <c r="E17" s="100"/>
      <c r="F17" s="101"/>
      <c r="G17" s="24">
        <v>0</v>
      </c>
      <c r="H17" s="14" t="s">
        <v>3</v>
      </c>
      <c r="I17" s="1"/>
    </row>
    <row r="18" spans="1:9" x14ac:dyDescent="0.45">
      <c r="A18" s="1"/>
      <c r="B18" s="102" t="s">
        <v>59</v>
      </c>
      <c r="C18" s="103"/>
      <c r="D18" s="103"/>
      <c r="E18" s="103"/>
      <c r="F18" s="104"/>
      <c r="G18" s="24">
        <v>0</v>
      </c>
      <c r="H18" s="14" t="s">
        <v>3</v>
      </c>
      <c r="I18" s="1"/>
    </row>
    <row r="19" spans="1:9" x14ac:dyDescent="0.45">
      <c r="A19" s="1"/>
      <c r="B19" s="99" t="s">
        <v>60</v>
      </c>
      <c r="C19" s="100"/>
      <c r="D19" s="100"/>
      <c r="E19" s="100"/>
      <c r="F19" s="101"/>
      <c r="G19" s="24">
        <f>SUM(G16:G18)*'Fane 12. Nøgletal'!C27</f>
        <v>245274.12078529861</v>
      </c>
      <c r="H19" s="14" t="s">
        <v>3</v>
      </c>
      <c r="I19" s="1"/>
    </row>
    <row r="20" spans="1:9" x14ac:dyDescent="0.45">
      <c r="A20" s="1"/>
      <c r="B20" s="46"/>
      <c r="C20" s="47"/>
      <c r="D20" s="47"/>
      <c r="E20" s="47"/>
      <c r="F20" s="47"/>
      <c r="G20" s="47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6" t="s">
        <v>67</v>
      </c>
      <c r="C22" s="97"/>
      <c r="D22" s="97"/>
      <c r="E22" s="97"/>
      <c r="F22" s="97"/>
      <c r="G22" s="97"/>
      <c r="H22" s="98"/>
      <c r="I22" s="1"/>
    </row>
    <row r="23" spans="1:9" x14ac:dyDescent="0.45">
      <c r="A23" s="1"/>
      <c r="B23" s="99" t="s">
        <v>61</v>
      </c>
      <c r="C23" s="100"/>
      <c r="D23" s="100"/>
      <c r="E23" s="100"/>
      <c r="F23" s="101"/>
      <c r="G23" s="24">
        <f>(SUM(G16:G18)-G19)*(1+'Fane 12. Nøgletal'!C11)</f>
        <v>12221543.417901937</v>
      </c>
      <c r="H23" s="14" t="s">
        <v>3</v>
      </c>
      <c r="I23" s="1"/>
    </row>
    <row r="24" spans="1:9" x14ac:dyDescent="0.45">
      <c r="A24" s="1"/>
      <c r="B24" s="102" t="s">
        <v>62</v>
      </c>
      <c r="C24" s="103"/>
      <c r="D24" s="103"/>
      <c r="E24" s="103"/>
      <c r="F24" s="104"/>
      <c r="G24" s="24">
        <v>0</v>
      </c>
      <c r="H24" s="14" t="s">
        <v>3</v>
      </c>
      <c r="I24" s="1"/>
    </row>
    <row r="25" spans="1:9" x14ac:dyDescent="0.45">
      <c r="A25" s="1"/>
      <c r="B25" s="99" t="s">
        <v>63</v>
      </c>
      <c r="C25" s="100"/>
      <c r="D25" s="100"/>
      <c r="E25" s="100"/>
      <c r="F25" s="101"/>
      <c r="G25" s="24">
        <f>(G23+G24)*'Fane 12. Nøgletal'!C27</f>
        <v>244430.86835803874</v>
      </c>
      <c r="H25" s="14" t="s">
        <v>3</v>
      </c>
      <c r="I25" s="1"/>
    </row>
    <row r="26" spans="1:9" x14ac:dyDescent="0.45">
      <c r="A26" s="1"/>
      <c r="B26" s="46"/>
      <c r="C26" s="47"/>
      <c r="D26" s="47"/>
      <c r="E26" s="47"/>
      <c r="F26" s="47"/>
      <c r="G26" s="47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6" t="s">
        <v>222</v>
      </c>
      <c r="C28" s="97"/>
      <c r="D28" s="97"/>
      <c r="E28" s="97"/>
      <c r="F28" s="97"/>
      <c r="G28" s="97"/>
      <c r="H28" s="98"/>
      <c r="I28" s="1"/>
    </row>
    <row r="29" spans="1:9" x14ac:dyDescent="0.45">
      <c r="A29" s="1"/>
      <c r="B29" s="99" t="s">
        <v>70</v>
      </c>
      <c r="C29" s="100"/>
      <c r="D29" s="100"/>
      <c r="E29" s="100"/>
      <c r="F29" s="101"/>
      <c r="G29" s="24">
        <f>(G23+G24-G25)*(1+'Fane 12. Nøgletal'!C13)</f>
        <v>12123233.322648333</v>
      </c>
      <c r="H29" s="14" t="s">
        <v>3</v>
      </c>
      <c r="I29" s="1"/>
    </row>
    <row r="30" spans="1:9" x14ac:dyDescent="0.45">
      <c r="A30" s="1"/>
      <c r="B30" s="99" t="s">
        <v>187</v>
      </c>
      <c r="C30" s="100"/>
      <c r="D30" s="100"/>
      <c r="E30" s="100"/>
      <c r="F30" s="101"/>
      <c r="G30" s="24">
        <f>SUM('Fane 2.1. Økonomisk ramme 2021'!C11,'Fane 2.1. Økonomisk ramme 2021'!C13,'Fane 2.1. Økonomisk ramme 2021'!C15)*(1+'Fane 12. Nøgletal'!C13)</f>
        <v>57960.776976479996</v>
      </c>
      <c r="H30" s="14" t="s">
        <v>3</v>
      </c>
      <c r="I30" s="1"/>
    </row>
    <row r="31" spans="1:9" x14ac:dyDescent="0.45">
      <c r="A31" s="1"/>
      <c r="B31" s="99" t="s">
        <v>199</v>
      </c>
      <c r="C31" s="100"/>
      <c r="D31" s="100"/>
      <c r="E31" s="100"/>
      <c r="F31" s="101"/>
      <c r="G31" s="24">
        <f>(G29+G30)*'Fane 12. Nøgletal'!C27</f>
        <v>243623.88199249626</v>
      </c>
      <c r="H31" s="14" t="s">
        <v>3</v>
      </c>
      <c r="I31" s="1"/>
    </row>
    <row r="32" spans="1:9" x14ac:dyDescent="0.45">
      <c r="A32" s="1"/>
      <c r="B32" s="46"/>
      <c r="C32" s="47"/>
      <c r="D32" s="47"/>
      <c r="E32" s="47"/>
      <c r="F32" s="47"/>
      <c r="G32" s="47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6" t="s">
        <v>223</v>
      </c>
      <c r="C34" s="97"/>
      <c r="D34" s="97"/>
      <c r="E34" s="97"/>
      <c r="F34" s="97"/>
      <c r="G34" s="97"/>
      <c r="H34" s="98"/>
      <c r="I34" s="1"/>
    </row>
    <row r="35" spans="1:9" x14ac:dyDescent="0.45">
      <c r="A35" s="1"/>
      <c r="B35" s="99" t="s">
        <v>90</v>
      </c>
      <c r="C35" s="100"/>
      <c r="D35" s="100"/>
      <c r="E35" s="100"/>
      <c r="F35" s="101"/>
      <c r="G35" s="24">
        <f>(G29+G30-G31)*(1+'Fane 12. Nøgletal'!C13)</f>
        <v>12083208.574287429</v>
      </c>
      <c r="H35" s="14" t="s">
        <v>3</v>
      </c>
      <c r="I35" s="1"/>
    </row>
    <row r="36" spans="1:9" x14ac:dyDescent="0.45">
      <c r="A36" s="1"/>
      <c r="B36" s="99" t="s">
        <v>102</v>
      </c>
      <c r="C36" s="100"/>
      <c r="D36" s="100"/>
      <c r="E36" s="100"/>
      <c r="F36" s="101"/>
      <c r="G36" s="24">
        <f>-'Fane 11. Bortfald'!C19*(1+'Fane 12. Nøgletal'!C13)</f>
        <v>0</v>
      </c>
      <c r="H36" s="14" t="s">
        <v>3</v>
      </c>
      <c r="I36" s="1"/>
    </row>
    <row r="37" spans="1:9" x14ac:dyDescent="0.45">
      <c r="A37" s="1"/>
      <c r="B37" s="99" t="s">
        <v>224</v>
      </c>
      <c r="C37" s="100"/>
      <c r="D37" s="100"/>
      <c r="E37" s="100"/>
      <c r="F37" s="101"/>
      <c r="G37" s="24">
        <f>(G35+G36)*'Fane 12. Nøgletal'!C27</f>
        <v>241664.17148574861</v>
      </c>
      <c r="H37" s="14" t="s">
        <v>3</v>
      </c>
      <c r="I37" s="1"/>
    </row>
    <row r="38" spans="1:9" x14ac:dyDescent="0.45">
      <c r="A38" s="1"/>
      <c r="B38" s="46"/>
      <c r="C38" s="47"/>
      <c r="D38" s="47"/>
      <c r="E38" s="47"/>
      <c r="F38" s="47"/>
      <c r="G38" s="47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6" t="s">
        <v>91</v>
      </c>
      <c r="C40" s="97"/>
      <c r="D40" s="97"/>
      <c r="E40" s="97"/>
      <c r="F40" s="97"/>
      <c r="G40" s="97"/>
      <c r="H40" s="98"/>
      <c r="I40" s="1"/>
    </row>
    <row r="41" spans="1:9" x14ac:dyDescent="0.45">
      <c r="A41" s="1"/>
      <c r="B41" s="99" t="s">
        <v>89</v>
      </c>
      <c r="C41" s="100"/>
      <c r="D41" s="100"/>
      <c r="E41" s="100"/>
      <c r="F41" s="101"/>
      <c r="G41" s="24">
        <f>(G35+G36-G37)*(1+'Fane 12. Nøgletal'!C13)</f>
        <v>11986011.244515862</v>
      </c>
      <c r="H41" s="14" t="s">
        <v>3</v>
      </c>
      <c r="I41" s="1"/>
    </row>
    <row r="42" spans="1:9" x14ac:dyDescent="0.45">
      <c r="A42" s="1"/>
      <c r="B42" s="99" t="s">
        <v>103</v>
      </c>
      <c r="C42" s="100"/>
      <c r="D42" s="100"/>
      <c r="E42" s="100"/>
      <c r="F42" s="101"/>
      <c r="G42" s="24">
        <f>-'Fane 11. Bortfald'!C26*(1+'Fane 12. Nøgletal'!C13)</f>
        <v>0</v>
      </c>
      <c r="H42" s="14" t="s">
        <v>3</v>
      </c>
      <c r="I42" s="1"/>
    </row>
    <row r="43" spans="1:9" x14ac:dyDescent="0.45">
      <c r="A43" s="1"/>
      <c r="B43" s="99" t="s">
        <v>71</v>
      </c>
      <c r="C43" s="100"/>
      <c r="D43" s="100"/>
      <c r="E43" s="100"/>
      <c r="F43" s="101"/>
      <c r="G43" s="24">
        <f>(G41+G42)*'Fane 12. Nøgletal'!C27</f>
        <v>239720.22489031724</v>
      </c>
      <c r="H43" s="14" t="s">
        <v>3</v>
      </c>
      <c r="I43" s="1"/>
    </row>
    <row r="44" spans="1:9" x14ac:dyDescent="0.45">
      <c r="A44" s="1"/>
      <c r="B44" s="46"/>
      <c r="C44" s="47"/>
      <c r="D44" s="47"/>
      <c r="E44" s="47"/>
      <c r="F44" s="47"/>
      <c r="G44" s="47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6" t="s">
        <v>188</v>
      </c>
      <c r="C46" s="97"/>
      <c r="D46" s="97"/>
      <c r="E46" s="97"/>
      <c r="F46" s="97"/>
      <c r="G46" s="97"/>
      <c r="H46" s="98"/>
      <c r="I46" s="1"/>
    </row>
    <row r="47" spans="1:9" x14ac:dyDescent="0.45">
      <c r="A47" s="1"/>
      <c r="B47" s="99" t="s">
        <v>189</v>
      </c>
      <c r="C47" s="100"/>
      <c r="D47" s="100"/>
      <c r="E47" s="100"/>
      <c r="F47" s="101"/>
      <c r="G47" s="24">
        <f>(G41+G42-G43)*(1+'Fane 12. Nøgletal'!C13)</f>
        <v>11889595.770064976</v>
      </c>
      <c r="H47" s="14" t="s">
        <v>3</v>
      </c>
      <c r="I47" s="1"/>
    </row>
    <row r="48" spans="1:9" x14ac:dyDescent="0.45">
      <c r="A48" s="1"/>
      <c r="B48" s="99" t="s">
        <v>190</v>
      </c>
      <c r="C48" s="100"/>
      <c r="D48" s="100"/>
      <c r="E48" s="100"/>
      <c r="F48" s="101"/>
      <c r="G48" s="24">
        <f>-'Fane 11. Bortfald'!C33*(1+'Fane 12. Nøgletal'!C13)</f>
        <v>0</v>
      </c>
      <c r="H48" s="14" t="s">
        <v>3</v>
      </c>
      <c r="I48" s="1"/>
    </row>
    <row r="49" spans="1:9" x14ac:dyDescent="0.45">
      <c r="A49" s="1"/>
      <c r="B49" s="99" t="s">
        <v>191</v>
      </c>
      <c r="C49" s="100"/>
      <c r="D49" s="100"/>
      <c r="E49" s="100"/>
      <c r="F49" s="101"/>
      <c r="G49" s="24">
        <f>(G47+G48)*'Fane 12. Nøgletal'!C27</f>
        <v>237791.91540129951</v>
      </c>
      <c r="H49" s="14" t="s">
        <v>3</v>
      </c>
      <c r="I49" s="1"/>
    </row>
    <row r="50" spans="1:9" x14ac:dyDescent="0.45">
      <c r="A50" s="1"/>
      <c r="B50" s="46"/>
      <c r="C50" s="47"/>
      <c r="D50" s="47"/>
      <c r="E50" s="47"/>
      <c r="F50" s="47"/>
      <c r="G50" s="47"/>
      <c r="H50" s="20"/>
      <c r="I50" s="1"/>
    </row>
  </sheetData>
  <sheetProtection algorithmName="SHA-512" hashValue="YjhywkwuBobE6F4hDndA1czNVSiLKAK8iKzUfQ0LtTIRiza3Eh5/IE/JSZlbQQN+P/kiY+klKZePsaF8iygM/g==" saltValue="Blc56FHLb3FIvH5+ujmxvQ==" spinCount="100000" sheet="1" objects="1" scenarios="1"/>
  <mergeCells count="33"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  <mergeCell ref="B11:F11"/>
    <mergeCell ref="B12:F12"/>
    <mergeCell ref="B16:F16"/>
    <mergeCell ref="B18:F18"/>
    <mergeCell ref="B17:F17"/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65">
      <c r="A2" s="1"/>
      <c r="B2" s="105" t="s">
        <v>139</v>
      </c>
      <c r="C2" s="105"/>
      <c r="D2" s="105"/>
      <c r="E2" s="105"/>
      <c r="F2" s="105"/>
      <c r="G2" s="105"/>
      <c r="H2" s="105"/>
      <c r="I2" s="1"/>
    </row>
    <row r="3" spans="1:9" ht="15" customHeight="1" x14ac:dyDescent="0.55000000000000004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45">
      <c r="A4" s="1"/>
      <c r="B4" s="96" t="s">
        <v>68</v>
      </c>
      <c r="C4" s="97"/>
      <c r="D4" s="97"/>
      <c r="E4" s="97"/>
      <c r="F4" s="97"/>
      <c r="G4" s="97"/>
      <c r="H4" s="98"/>
      <c r="I4" s="1"/>
    </row>
    <row r="5" spans="1:9" x14ac:dyDescent="0.45">
      <c r="A5" s="1"/>
      <c r="B5" s="99" t="s">
        <v>72</v>
      </c>
      <c r="C5" s="100"/>
      <c r="D5" s="100"/>
      <c r="E5" s="100"/>
      <c r="F5" s="101"/>
      <c r="G5" s="24">
        <v>22566050.143720936</v>
      </c>
      <c r="H5" s="14" t="s">
        <v>3</v>
      </c>
      <c r="I5" s="1"/>
    </row>
    <row r="6" spans="1:9" x14ac:dyDescent="0.45">
      <c r="A6" s="1"/>
      <c r="B6" s="99" t="s">
        <v>69</v>
      </c>
      <c r="C6" s="100"/>
      <c r="D6" s="100"/>
      <c r="E6" s="100"/>
      <c r="F6" s="101"/>
      <c r="G6" s="24">
        <f>G5*'Fane 12. Nøgletal'!C18</f>
        <v>205351.05630786053</v>
      </c>
      <c r="H6" s="14" t="s">
        <v>3</v>
      </c>
      <c r="I6" s="1"/>
    </row>
    <row r="7" spans="1:9" x14ac:dyDescent="0.45">
      <c r="A7" s="1"/>
      <c r="B7" s="46"/>
      <c r="C7" s="47"/>
      <c r="D7" s="47"/>
      <c r="E7" s="47"/>
      <c r="F7" s="47"/>
      <c r="G7" s="47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6" t="s">
        <v>73</v>
      </c>
      <c r="C9" s="97"/>
      <c r="D9" s="97"/>
      <c r="E9" s="97"/>
      <c r="F9" s="97"/>
      <c r="G9" s="97"/>
      <c r="H9" s="98"/>
      <c r="I9" s="1"/>
    </row>
    <row r="10" spans="1:9" x14ac:dyDescent="0.45">
      <c r="A10" s="1"/>
      <c r="B10" s="99" t="s">
        <v>74</v>
      </c>
      <c r="C10" s="100"/>
      <c r="D10" s="100"/>
      <c r="E10" s="100"/>
      <c r="F10" s="101"/>
      <c r="G10" s="24">
        <f>(G5-G6)*(1+'Fane 12. Nøgletal'!C9)</f>
        <v>22644679.965823222</v>
      </c>
      <c r="H10" s="14" t="s">
        <v>3</v>
      </c>
      <c r="I10" s="1"/>
    </row>
    <row r="11" spans="1:9" x14ac:dyDescent="0.45">
      <c r="A11" s="1"/>
      <c r="B11" s="102" t="s">
        <v>75</v>
      </c>
      <c r="C11" s="103"/>
      <c r="D11" s="103"/>
      <c r="E11" s="103"/>
      <c r="F11" s="104"/>
      <c r="G11" s="24">
        <v>0</v>
      </c>
      <c r="H11" s="14" t="s">
        <v>3</v>
      </c>
      <c r="I11" s="1"/>
    </row>
    <row r="12" spans="1:9" x14ac:dyDescent="0.45">
      <c r="A12" s="1"/>
      <c r="B12" s="99" t="s">
        <v>76</v>
      </c>
      <c r="C12" s="100"/>
      <c r="D12" s="100"/>
      <c r="E12" s="100"/>
      <c r="F12" s="101"/>
      <c r="G12" s="24">
        <f>G10*'Fane 12. Nøgletal'!C18+G11*'Fane 12. Nøgletal'!C19</f>
        <v>206066.58768899133</v>
      </c>
      <c r="H12" s="14" t="s">
        <v>3</v>
      </c>
      <c r="I12" s="1"/>
    </row>
    <row r="13" spans="1:9" x14ac:dyDescent="0.45">
      <c r="A13" s="1"/>
      <c r="B13" s="46"/>
      <c r="C13" s="47"/>
      <c r="D13" s="47"/>
      <c r="E13" s="47"/>
      <c r="F13" s="47"/>
      <c r="G13" s="47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6" t="s">
        <v>77</v>
      </c>
      <c r="C15" s="97"/>
      <c r="D15" s="97"/>
      <c r="E15" s="97"/>
      <c r="F15" s="97"/>
      <c r="G15" s="97"/>
      <c r="H15" s="98"/>
      <c r="I15" s="1"/>
    </row>
    <row r="16" spans="1:9" x14ac:dyDescent="0.45">
      <c r="A16" s="1"/>
      <c r="B16" s="99" t="s">
        <v>78</v>
      </c>
      <c r="C16" s="100"/>
      <c r="D16" s="100"/>
      <c r="E16" s="100"/>
      <c r="F16" s="101"/>
      <c r="G16" s="24">
        <f>(G10+G11-G12)*(1+'Fane 12. Nøgletal'!C11)</f>
        <v>22817825.9442247</v>
      </c>
      <c r="H16" s="14" t="s">
        <v>3</v>
      </c>
      <c r="I16" s="1"/>
    </row>
    <row r="17" spans="1:9" x14ac:dyDescent="0.45">
      <c r="A17" s="1"/>
      <c r="B17" s="99" t="s">
        <v>149</v>
      </c>
      <c r="C17" s="100"/>
      <c r="D17" s="100"/>
      <c r="E17" s="100"/>
      <c r="F17" s="101"/>
      <c r="G17" s="24">
        <v>405241.8224780343</v>
      </c>
      <c r="H17" s="14" t="s">
        <v>3</v>
      </c>
      <c r="I17" s="1"/>
    </row>
    <row r="18" spans="1:9" x14ac:dyDescent="0.45">
      <c r="A18" s="1"/>
      <c r="B18" s="102" t="s">
        <v>79</v>
      </c>
      <c r="C18" s="103"/>
      <c r="D18" s="103"/>
      <c r="E18" s="103"/>
      <c r="F18" s="104"/>
      <c r="G18" s="24">
        <v>339282.45455538994</v>
      </c>
      <c r="H18" s="14" t="s">
        <v>3</v>
      </c>
      <c r="I18" s="1"/>
    </row>
    <row r="19" spans="1:9" x14ac:dyDescent="0.45">
      <c r="A19" s="1"/>
      <c r="B19" s="99" t="s">
        <v>80</v>
      </c>
      <c r="C19" s="100"/>
      <c r="D19" s="100"/>
      <c r="E19" s="100"/>
      <c r="F19" s="101"/>
      <c r="G19" s="24">
        <f>SUM(G16:G18)*'Fane 12. Nøgletal'!C20</f>
        <v>204992.44692494566</v>
      </c>
      <c r="H19" s="14" t="s">
        <v>3</v>
      </c>
      <c r="I19" s="1"/>
    </row>
    <row r="20" spans="1:9" x14ac:dyDescent="0.45">
      <c r="A20" s="1"/>
      <c r="B20" s="46"/>
      <c r="C20" s="47"/>
      <c r="D20" s="47"/>
      <c r="E20" s="47"/>
      <c r="F20" s="47"/>
      <c r="G20" s="47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6" t="s">
        <v>81</v>
      </c>
      <c r="C22" s="97"/>
      <c r="D22" s="97"/>
      <c r="E22" s="97"/>
      <c r="F22" s="97"/>
      <c r="G22" s="97"/>
      <c r="H22" s="98"/>
      <c r="I22" s="1"/>
    </row>
    <row r="23" spans="1:9" x14ac:dyDescent="0.45">
      <c r="A23" s="1"/>
      <c r="B23" s="99" t="s">
        <v>82</v>
      </c>
      <c r="C23" s="100"/>
      <c r="D23" s="100"/>
      <c r="E23" s="100"/>
      <c r="F23" s="101"/>
      <c r="G23" s="24">
        <f>(SUM(G16:G18)-G19)*(1+'Fane 12. Nøgletal'!C11)</f>
        <v>23752097.120719403</v>
      </c>
      <c r="H23" s="14" t="s">
        <v>3</v>
      </c>
      <c r="I23" s="1"/>
    </row>
    <row r="24" spans="1:9" x14ac:dyDescent="0.45">
      <c r="A24" s="1"/>
      <c r="B24" s="102" t="s">
        <v>83</v>
      </c>
      <c r="C24" s="103"/>
      <c r="D24" s="103"/>
      <c r="E24" s="103"/>
      <c r="F24" s="104"/>
      <c r="G24" s="24">
        <v>138969.59143858563</v>
      </c>
      <c r="H24" s="14" t="s">
        <v>3</v>
      </c>
      <c r="I24" s="1"/>
    </row>
    <row r="25" spans="1:9" x14ac:dyDescent="0.45">
      <c r="A25" s="1"/>
      <c r="B25" s="99" t="s">
        <v>84</v>
      </c>
      <c r="C25" s="100"/>
      <c r="D25" s="100"/>
      <c r="E25" s="100"/>
      <c r="F25" s="101"/>
      <c r="G25" s="24">
        <f>G23*'Fane 12. Nøgletal'!C20+G24*'Fane 12. Nøgletal'!C21</f>
        <v>210589.9813471146</v>
      </c>
      <c r="H25" s="14" t="s">
        <v>3</v>
      </c>
      <c r="I25" s="1"/>
    </row>
    <row r="26" spans="1:9" x14ac:dyDescent="0.45">
      <c r="A26" s="1"/>
      <c r="B26" s="46"/>
      <c r="C26" s="47"/>
      <c r="D26" s="47"/>
      <c r="E26" s="47"/>
      <c r="F26" s="47"/>
      <c r="G26" s="47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6" t="s">
        <v>220</v>
      </c>
      <c r="C28" s="97"/>
      <c r="D28" s="97"/>
      <c r="E28" s="97"/>
      <c r="F28" s="97"/>
      <c r="G28" s="97"/>
      <c r="H28" s="98"/>
      <c r="I28" s="1"/>
    </row>
    <row r="29" spans="1:9" x14ac:dyDescent="0.45">
      <c r="A29" s="1"/>
      <c r="B29" s="99" t="s">
        <v>85</v>
      </c>
      <c r="C29" s="100"/>
      <c r="D29" s="100"/>
      <c r="E29" s="100"/>
      <c r="F29" s="101"/>
      <c r="G29" s="24">
        <f>(G23+G24-G25)*(1+'Fane 12. Nøgletal'!C13)</f>
        <v>23969378.546926767</v>
      </c>
      <c r="H29" s="14" t="s">
        <v>3</v>
      </c>
      <c r="I29" s="1"/>
    </row>
    <row r="30" spans="1:9" x14ac:dyDescent="0.45">
      <c r="A30" s="1"/>
      <c r="B30" s="99" t="s">
        <v>192</v>
      </c>
      <c r="C30" s="100"/>
      <c r="D30" s="100"/>
      <c r="E30" s="100"/>
      <c r="F30" s="101"/>
      <c r="G30" s="24">
        <f>SUM('Fane 2.1. Økonomisk ramme 2021'!C12,'Fane 2.1. Økonomisk ramme 2021'!C14,'Fane 2.1. Økonomisk ramme 2021'!C16)*(1+'Fane 12. Nøgletal'!C13)</f>
        <v>1303391.0563522631</v>
      </c>
      <c r="H30" s="14" t="s">
        <v>3</v>
      </c>
      <c r="I30" s="1"/>
    </row>
    <row r="31" spans="1:9" x14ac:dyDescent="0.45">
      <c r="A31" s="1"/>
      <c r="B31" s="99" t="s">
        <v>221</v>
      </c>
      <c r="C31" s="100"/>
      <c r="D31" s="100"/>
      <c r="E31" s="100"/>
      <c r="F31" s="101"/>
      <c r="G31" s="24">
        <f>(G29+G30)*'Fane 12. Nøgletal'!C22</f>
        <v>695001.16409017332</v>
      </c>
      <c r="H31" s="14" t="s">
        <v>3</v>
      </c>
      <c r="I31" s="1"/>
    </row>
    <row r="32" spans="1:9" x14ac:dyDescent="0.45">
      <c r="A32" s="1"/>
      <c r="B32" s="46"/>
      <c r="C32" s="47"/>
      <c r="D32" s="47"/>
      <c r="E32" s="47"/>
      <c r="F32" s="47"/>
      <c r="G32" s="47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6" t="s">
        <v>225</v>
      </c>
      <c r="C34" s="97"/>
      <c r="D34" s="97"/>
      <c r="E34" s="97"/>
      <c r="F34" s="97"/>
      <c r="G34" s="97"/>
      <c r="H34" s="98"/>
      <c r="I34" s="1"/>
    </row>
    <row r="35" spans="1:9" x14ac:dyDescent="0.45">
      <c r="A35" s="1"/>
      <c r="B35" s="99" t="s">
        <v>88</v>
      </c>
      <c r="C35" s="100"/>
      <c r="D35" s="100"/>
      <c r="E35" s="100"/>
      <c r="F35" s="101"/>
      <c r="G35" s="24">
        <f>(G29+G30-G31)*(1+'Fane 12. Nøgletal'!C13)</f>
        <v>24877617.214146957</v>
      </c>
      <c r="H35" s="14" t="s">
        <v>3</v>
      </c>
      <c r="I35" s="1"/>
    </row>
    <row r="36" spans="1:9" x14ac:dyDescent="0.45">
      <c r="A36" s="1"/>
      <c r="B36" s="99" t="s">
        <v>107</v>
      </c>
      <c r="C36" s="100"/>
      <c r="D36" s="100"/>
      <c r="E36" s="100"/>
      <c r="F36" s="101"/>
      <c r="G36" s="24">
        <f>-'Fane 11. Bortfald'!E19*(1+'Fane 12. Nøgletal'!C13)</f>
        <v>0</v>
      </c>
      <c r="H36" s="14" t="s">
        <v>3</v>
      </c>
      <c r="I36" s="1"/>
    </row>
    <row r="37" spans="1:9" x14ac:dyDescent="0.45">
      <c r="A37" s="1"/>
      <c r="B37" s="99" t="s">
        <v>226</v>
      </c>
      <c r="C37" s="100"/>
      <c r="D37" s="100"/>
      <c r="E37" s="100"/>
      <c r="F37" s="101"/>
      <c r="G37" s="24">
        <f>(G35+G36)*'Fane 12. Nøgletal'!C22</f>
        <v>684134.47338904126</v>
      </c>
      <c r="H37" s="14" t="s">
        <v>3</v>
      </c>
      <c r="I37" s="1"/>
    </row>
    <row r="38" spans="1:9" x14ac:dyDescent="0.45">
      <c r="A38" s="1"/>
      <c r="B38" s="46"/>
      <c r="C38" s="47"/>
      <c r="D38" s="47"/>
      <c r="E38" s="47"/>
      <c r="F38" s="47"/>
      <c r="G38" s="47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6" t="s">
        <v>92</v>
      </c>
      <c r="C40" s="97"/>
      <c r="D40" s="97"/>
      <c r="E40" s="97"/>
      <c r="F40" s="97"/>
      <c r="G40" s="97"/>
      <c r="H40" s="98"/>
      <c r="I40" s="1"/>
    </row>
    <row r="41" spans="1:9" x14ac:dyDescent="0.45">
      <c r="A41" s="1"/>
      <c r="B41" s="99" t="s">
        <v>87</v>
      </c>
      <c r="C41" s="100"/>
      <c r="D41" s="100"/>
      <c r="E41" s="100"/>
      <c r="F41" s="101"/>
      <c r="G41" s="24">
        <f>(G35+G36-G37)*(1+'Fane 12. Nøgletal'!C13)</f>
        <v>24488643.230195161</v>
      </c>
      <c r="H41" s="14" t="s">
        <v>3</v>
      </c>
      <c r="I41" s="1"/>
    </row>
    <row r="42" spans="1:9" x14ac:dyDescent="0.45">
      <c r="A42" s="1"/>
      <c r="B42" s="99" t="s">
        <v>108</v>
      </c>
      <c r="C42" s="100"/>
      <c r="D42" s="100"/>
      <c r="E42" s="100"/>
      <c r="F42" s="101"/>
      <c r="G42" s="24">
        <f>-'Fane 11. Bortfald'!E26*(1+'Fane 12. Nøgletal'!C13)</f>
        <v>0</v>
      </c>
      <c r="H42" s="14" t="s">
        <v>3</v>
      </c>
      <c r="I42" s="1"/>
    </row>
    <row r="43" spans="1:9" x14ac:dyDescent="0.45">
      <c r="A43" s="1"/>
      <c r="B43" s="99" t="s">
        <v>86</v>
      </c>
      <c r="C43" s="100"/>
      <c r="D43" s="100"/>
      <c r="E43" s="100"/>
      <c r="F43" s="101"/>
      <c r="G43" s="24">
        <f>(G41+G42)*'Fane 12. Nøgletal'!C22</f>
        <v>673437.68883036694</v>
      </c>
      <c r="H43" s="14" t="s">
        <v>3</v>
      </c>
      <c r="I43" s="1"/>
    </row>
    <row r="44" spans="1:9" x14ac:dyDescent="0.45">
      <c r="A44" s="1"/>
      <c r="B44" s="46"/>
      <c r="C44" s="47"/>
      <c r="D44" s="47"/>
      <c r="E44" s="47"/>
      <c r="F44" s="47"/>
      <c r="G44" s="47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6" t="s">
        <v>193</v>
      </c>
      <c r="C46" s="97"/>
      <c r="D46" s="97"/>
      <c r="E46" s="97"/>
      <c r="F46" s="97"/>
      <c r="G46" s="97"/>
      <c r="H46" s="98"/>
      <c r="I46" s="1"/>
    </row>
    <row r="47" spans="1:9" x14ac:dyDescent="0.45">
      <c r="A47" s="1"/>
      <c r="B47" s="99" t="s">
        <v>194</v>
      </c>
      <c r="C47" s="100"/>
      <c r="D47" s="100"/>
      <c r="E47" s="100"/>
      <c r="F47" s="101"/>
      <c r="G47" s="24">
        <f>(G41+G42-G43)*(1+'Fane 12. Nøgletal'!C13)</f>
        <v>24105751.048969444</v>
      </c>
      <c r="H47" s="14" t="s">
        <v>3</v>
      </c>
      <c r="I47" s="1"/>
    </row>
    <row r="48" spans="1:9" x14ac:dyDescent="0.45">
      <c r="A48" s="1"/>
      <c r="B48" s="99" t="s">
        <v>195</v>
      </c>
      <c r="C48" s="100"/>
      <c r="D48" s="100"/>
      <c r="E48" s="100"/>
      <c r="F48" s="101"/>
      <c r="G48" s="24">
        <f>-'Fane 11. Bortfald'!E33*(1+'Fane 12. Nøgletal'!C13)</f>
        <v>0</v>
      </c>
      <c r="H48" s="14" t="s">
        <v>3</v>
      </c>
      <c r="I48" s="1"/>
    </row>
    <row r="49" spans="1:9" x14ac:dyDescent="0.45">
      <c r="A49" s="1"/>
      <c r="B49" s="99" t="s">
        <v>196</v>
      </c>
      <c r="C49" s="100"/>
      <c r="D49" s="100"/>
      <c r="E49" s="100"/>
      <c r="F49" s="101"/>
      <c r="G49" s="24">
        <f>(G47+G48)*'Fane 12. Nøgletal'!C22</f>
        <v>662908.1538466597</v>
      </c>
      <c r="H49" s="14" t="s">
        <v>3</v>
      </c>
      <c r="I49" s="1"/>
    </row>
    <row r="50" spans="1:9" x14ac:dyDescent="0.45">
      <c r="A50" s="1"/>
      <c r="B50" s="46"/>
      <c r="C50" s="47"/>
      <c r="D50" s="47"/>
      <c r="E50" s="47"/>
      <c r="F50" s="47"/>
      <c r="G50" s="47"/>
      <c r="H50" s="20"/>
      <c r="I50" s="1"/>
    </row>
  </sheetData>
  <sheetProtection algorithmName="SHA-512" hashValue="14Jdy0rX9wwZOyaZNN7O+hPN9UzhtBhfBqu59caLL9UeHr1fS5YmWs88aNQpBM6ML87AvqRbwq9OAj+kG2l3KA==" saltValue="YzPmTx9ZPQ27dW5/eLc9Rg==" spinCount="100000" sheet="1" objects="1" scenarios="1"/>
  <mergeCells count="33">
    <mergeCell ref="B28:H28"/>
    <mergeCell ref="B29:F29"/>
    <mergeCell ref="B31:F31"/>
    <mergeCell ref="B34:H34"/>
    <mergeCell ref="B22:H22"/>
    <mergeCell ref="B23:F23"/>
    <mergeCell ref="B24:F24"/>
    <mergeCell ref="B25:F25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101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6" t="s">
        <v>9</v>
      </c>
      <c r="C8" s="97"/>
      <c r="D8" s="97"/>
      <c r="E8" s="97"/>
      <c r="F8" s="97"/>
      <c r="G8" s="97"/>
      <c r="H8" s="98"/>
      <c r="I8" s="1"/>
    </row>
    <row r="9" spans="1:9" x14ac:dyDescent="0.45">
      <c r="A9" s="1"/>
      <c r="B9" s="99" t="s">
        <v>124</v>
      </c>
      <c r="C9" s="100"/>
      <c r="D9" s="100"/>
      <c r="E9" s="100"/>
      <c r="F9" s="101"/>
      <c r="G9" s="23">
        <v>1.904650508088665E-2</v>
      </c>
      <c r="H9" s="14"/>
      <c r="I9" s="1"/>
    </row>
    <row r="10" spans="1:9" x14ac:dyDescent="0.45">
      <c r="A10" s="1"/>
      <c r="B10" s="99" t="s">
        <v>181</v>
      </c>
      <c r="C10" s="100"/>
      <c r="D10" s="100"/>
      <c r="E10" s="100"/>
      <c r="F10" s="101"/>
      <c r="G10" s="23">
        <v>1.4420375584383985E-2</v>
      </c>
      <c r="H10" s="14"/>
      <c r="I10" s="1"/>
    </row>
    <row r="11" spans="1:9" x14ac:dyDescent="0.45">
      <c r="A11" s="1"/>
      <c r="B11" s="46"/>
      <c r="C11" s="47"/>
      <c r="D11" s="47"/>
      <c r="E11" s="47"/>
      <c r="F11" s="47"/>
      <c r="G11" s="47"/>
      <c r="H11" s="20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45">
      <c r="A13" s="18"/>
      <c r="B13" s="106" t="s">
        <v>227</v>
      </c>
      <c r="C13" s="106"/>
      <c r="D13" s="106"/>
      <c r="E13" s="106"/>
      <c r="F13" s="106"/>
      <c r="G13" s="106"/>
      <c r="H13" s="106"/>
      <c r="I13" s="18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/1hyGMm/hT0qCYHlloil/YnkfWpmprMUlonFDWB85ZGnP1oSAeJRoCLKPt0xD0XAuLIpNZhf9vgL4ZDSwuK7Dw==" saltValue="kd8LZhcKQwQcHwfTGREzsg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2020-10-20T07:50:54Z</dcterms:modified>
</cp:coreProperties>
</file>