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Vordingborg Spildevand AS (S107)\ØR2019\"/>
    </mc:Choice>
  </mc:AlternateContent>
  <bookViews>
    <workbookView xWindow="3105" yWindow="990" windowWidth="12735" windowHeight="4620" tabRatio="91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62913"/>
</workbook>
</file>

<file path=xl/calcChain.xml><?xml version="1.0" encoding="utf-8"?>
<calcChain xmlns="http://schemas.openxmlformats.org/spreadsheetml/2006/main">
  <c r="E30" i="19" l="1"/>
  <c r="E36" i="34" l="1"/>
  <c r="E35" i="34"/>
  <c r="E29" i="19"/>
  <c r="E28" i="19"/>
  <c r="E27" i="19"/>
  <c r="E26" i="19"/>
  <c r="E38" i="34" l="1"/>
  <c r="E44" i="34" s="1"/>
  <c r="G45" i="34" s="1"/>
  <c r="G46" i="34" s="1"/>
  <c r="E31" i="19"/>
  <c r="E11" i="22"/>
  <c r="C8" i="23"/>
  <c r="E9" i="22"/>
  <c r="C9" i="22"/>
  <c r="E11" i="15"/>
  <c r="C9" i="15"/>
  <c r="E9" i="15"/>
  <c r="E17" i="2"/>
  <c r="E16" i="2"/>
  <c r="C16" i="2"/>
  <c r="E13" i="2"/>
  <c r="E12" i="2"/>
  <c r="E11" i="2"/>
  <c r="E10" i="2"/>
  <c r="E9" i="2"/>
  <c r="E21" i="19"/>
  <c r="E22" i="19" s="1"/>
  <c r="E19" i="23" s="1"/>
  <c r="G38" i="34" l="1"/>
  <c r="E20" i="15"/>
  <c r="E24" i="2"/>
  <c r="E20" i="22"/>
  <c r="F16" i="20"/>
  <c r="D16" i="20"/>
  <c r="F18" i="21" l="1"/>
  <c r="D18" i="21"/>
  <c r="F17" i="21"/>
  <c r="D17" i="21"/>
  <c r="F17" i="20"/>
  <c r="F18" i="20" s="1"/>
  <c r="D17" i="20"/>
  <c r="D18" i="20" s="1"/>
  <c r="G19" i="11"/>
  <c r="F19" i="11"/>
  <c r="E19" i="11"/>
  <c r="E24" i="34"/>
  <c r="I13" i="10"/>
  <c r="K10" i="10"/>
  <c r="K9" i="10"/>
  <c r="K11" i="10" s="1"/>
  <c r="K13" i="10"/>
  <c r="I11" i="10"/>
  <c r="G11" i="10"/>
  <c r="E13" i="15"/>
  <c r="E13" i="22" s="1"/>
  <c r="E12" i="23" s="1"/>
  <c r="E14" i="2"/>
  <c r="E15" i="2" s="1"/>
  <c r="I12" i="30"/>
  <c r="K12" i="30" s="1"/>
  <c r="I10" i="30"/>
  <c r="K10" i="30" s="1"/>
  <c r="K11" i="30"/>
  <c r="K9" i="30"/>
  <c r="G12" i="30"/>
  <c r="J13" i="27"/>
  <c r="L13" i="27" s="1"/>
  <c r="H13" i="27"/>
  <c r="E21" i="23"/>
  <c r="E16" i="23"/>
  <c r="E17" i="23" s="1"/>
  <c r="E22" i="22"/>
  <c r="E17" i="22"/>
  <c r="E18" i="22" s="1"/>
  <c r="G18" i="22" s="1"/>
  <c r="E10" i="22"/>
  <c r="E26" i="15"/>
  <c r="E24" i="22" s="1"/>
  <c r="G24" i="22" s="1"/>
  <c r="E24" i="15"/>
  <c r="E22" i="15"/>
  <c r="E17" i="15"/>
  <c r="E18" i="15" s="1"/>
  <c r="E33" i="2"/>
  <c r="E31" i="2"/>
  <c r="G31" i="2" s="1"/>
  <c r="E26" i="2"/>
  <c r="E21" i="2"/>
  <c r="E22" i="2" s="1"/>
  <c r="G24" i="34" l="1"/>
  <c r="E28" i="34"/>
  <c r="E30" i="34" s="1"/>
  <c r="G31" i="34" s="1"/>
  <c r="G32" i="34" s="1"/>
  <c r="E10" i="15"/>
  <c r="E9" i="11"/>
  <c r="E10" i="11"/>
  <c r="E11" i="11"/>
  <c r="E10" i="34" l="1"/>
  <c r="E14" i="34" l="1"/>
  <c r="E16" i="34" s="1"/>
  <c r="G17" i="34" s="1"/>
  <c r="G18" i="34" s="1"/>
  <c r="C26" i="15" s="1"/>
  <c r="G26" i="15" s="1"/>
  <c r="C16" i="23" l="1"/>
  <c r="C17" i="22"/>
  <c r="C17" i="15"/>
  <c r="C21" i="2"/>
  <c r="G10" i="34" l="1"/>
  <c r="C24" i="22" s="1"/>
  <c r="G10" i="30" l="1"/>
  <c r="E8" i="11" l="1"/>
  <c r="G14" i="11"/>
  <c r="F14" i="11"/>
  <c r="D10" i="20" s="1"/>
  <c r="C31" i="2" l="1"/>
  <c r="C17" i="23" l="1"/>
  <c r="G17" i="23" s="1"/>
  <c r="C18" i="22" l="1"/>
  <c r="C18" i="15"/>
  <c r="G18" i="15" s="1"/>
  <c r="C22" i="2"/>
  <c r="G22" i="2" s="1"/>
  <c r="D11" i="20" l="1"/>
  <c r="F11" i="21"/>
  <c r="F12" i="21" s="1"/>
  <c r="D11" i="21"/>
  <c r="D12" i="21" s="1"/>
  <c r="C12" i="2" s="1"/>
  <c r="C9" i="2"/>
  <c r="E13" i="19"/>
  <c r="E14" i="19" s="1"/>
  <c r="C13" i="2" l="1"/>
  <c r="C24" i="2"/>
  <c r="C26" i="2" s="1"/>
  <c r="G26" i="2" s="1"/>
  <c r="C20" i="22"/>
  <c r="C22" i="22" s="1"/>
  <c r="G22" i="22" s="1"/>
  <c r="C19" i="23"/>
  <c r="C20" i="15"/>
  <c r="C22" i="15" l="1"/>
  <c r="G22" i="15" s="1"/>
  <c r="C21" i="23"/>
  <c r="G21" i="23" s="1"/>
  <c r="G13" i="10" l="1"/>
  <c r="C24" i="15" s="1"/>
  <c r="G24" i="15" s="1"/>
  <c r="E13" i="11"/>
  <c r="D12" i="20" l="1"/>
  <c r="C10" i="2" s="1"/>
  <c r="C12" i="15" l="1"/>
  <c r="C12" i="22" s="1"/>
  <c r="C11" i="23" s="1"/>
  <c r="E12" i="11"/>
  <c r="E14" i="11" l="1"/>
  <c r="F10" i="20" s="1"/>
  <c r="F11" i="20" s="1"/>
  <c r="F12" i="20" s="1"/>
  <c r="C33" i="2"/>
  <c r="G33" i="2" s="1"/>
  <c r="C11" i="2" l="1"/>
  <c r="C17" i="2" l="1"/>
  <c r="C13" i="15" s="1"/>
  <c r="C13" i="22" s="1"/>
  <c r="C12" i="23" s="1"/>
  <c r="E12" i="15"/>
  <c r="C14" i="2"/>
  <c r="C15" i="2" s="1"/>
  <c r="C18" i="2" l="1"/>
  <c r="E12" i="22"/>
  <c r="E14" i="15"/>
  <c r="E18" i="2"/>
  <c r="G18" i="2" l="1"/>
  <c r="G34" i="2" s="1"/>
  <c r="E11" i="23"/>
  <c r="E14" i="22"/>
  <c r="E8" i="23" s="1"/>
  <c r="E9" i="23" s="1"/>
  <c r="E10" i="23" s="1"/>
  <c r="E13" i="23" l="1"/>
  <c r="C10" i="15"/>
  <c r="C11" i="15" s="1"/>
  <c r="C14" i="15" l="1"/>
  <c r="G14" i="15" s="1"/>
  <c r="G27" i="15" s="1"/>
  <c r="C10" i="22" l="1"/>
  <c r="C11" i="22" s="1"/>
  <c r="C14" i="22" l="1"/>
  <c r="G14" i="22" s="1"/>
  <c r="G25" i="22" s="1"/>
  <c r="C9" i="23" l="1"/>
  <c r="C10" i="23" s="1"/>
  <c r="C13" i="23" l="1"/>
  <c r="G13" i="23" l="1"/>
  <c r="G22" i="23" s="1"/>
</calcChain>
</file>

<file path=xl/sharedStrings.xml><?xml version="1.0" encoding="utf-8"?>
<sst xmlns="http://schemas.openxmlformats.org/spreadsheetml/2006/main" count="542" uniqueCount="165">
  <si>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</si>
  <si>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</si>
  <si>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</si>
  <si>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</si>
  <si>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</si>
  <si>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</si>
  <si>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</si>
  <si>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</si>
  <si>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</si>
  <si>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</si>
  <si>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</si>
  <si>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</si>
  <si>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</si>
  <si>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</si>
  <si>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</si>
  <si>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</si>
  <si>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</si>
  <si>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</si>
  <si>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</si>
  <si>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</si>
  <si>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</si>
  <si>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</si>
  <si>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</si>
  <si>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</si>
  <si>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</si>
  <si>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</si>
  <si>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</si>
  <si>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</si>
  <si>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</si>
  <si>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</si>
  <si>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</si>
  <si>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</si>
  <si>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</si>
  <si>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Beskrivelse af tillæg</t>
  </si>
  <si>
    <t>Beskrivelse af bortfald eller nedsættelse</t>
  </si>
  <si>
    <t>Prisudvikling i kr.</t>
  </si>
  <si>
    <t>år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</si>
  <si>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</si>
  <si>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</si>
  <si>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</si>
  <si>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</si>
  <si>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</si>
  <si>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</si>
  <si>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</si>
  <si>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</si>
  <si>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</si>
  <si>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</si>
  <si>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</si>
  <si>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</si>
  <si>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</si>
  <si>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</si>
  <si>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</si>
  <si>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</si>
  <si>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</si>
  <si>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</si>
  <si>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</si>
  <si>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</si>
  <si>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</si>
  <si>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</si>
  <si>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</si>
  <si>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</si>
  <si>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</si>
  <si>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</si>
  <si>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</si>
  <si>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</si>
  <si>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</si>
  <si>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</si>
  <si>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</si>
  <si>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</si>
  <si>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</si>
  <si>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</si>
  <si>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</si>
  <si>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</si>
  <si>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</si>
  <si>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</si>
  <si>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</si>
  <si>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</si>
  <si>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</si>
  <si>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</si>
  <si>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</si>
  <si>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</si>
  <si>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</si>
  <si>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</si>
  <si>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</si>
  <si>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</si>
  <si>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</si>
  <si>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</si>
  <si>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</si>
  <si>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</si>
  <si>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</si>
  <si>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</si>
  <si>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</si>
  <si>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</si>
  <si>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</si>
  <si>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</si>
  <si>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</si>
  <si>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</si>
  <si>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</si>
  <si>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</si>
  <si>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</si>
  <si>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</si>
  <si>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</si>
  <si>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</si>
  <si>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</si>
  <si>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</si>
  <si>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</si>
  <si>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</si>
  <si>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</si>
  <si>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</si>
  <si>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</si>
  <si>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</si>
  <si>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</si>
  <si>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</si>
  <si>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</si>
  <si>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</si>
  <si>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</si>
  <si>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</si>
  <si>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</si>
  <si>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</si>
  <si>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</si>
  <si>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</si>
  <si>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</si>
  <si>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</si>
  <si>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</si>
  <si>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</si>
  <si>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</si>
  <si>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</si>
  <si>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</si>
  <si>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Periodevise driftsomkostninger under prisloftsbekendtgørelsen</t>
  </si>
  <si>
    <t>Ingen bortfald eller nedsættelse</t>
  </si>
  <si>
    <t>Afgift til Forsyningsekretariatet</t>
  </si>
  <si>
    <t>Køb af ydelser og produkter fra andre vandselskaber reguleret af vandsektorloven</t>
  </si>
  <si>
    <t>Skatter og afgifter</t>
  </si>
  <si>
    <t>Ledningsnet ≤ Ø 200 mm</t>
  </si>
  <si>
    <t>Brønde</t>
  </si>
  <si>
    <t>Stik</t>
  </si>
  <si>
    <t>Pumpestationer i brønde (&lt; 6,25 m2), Konstruktioner</t>
  </si>
  <si>
    <t>Pumpestationer i brønde (&lt; 6,25 m2), Mek/EL</t>
  </si>
  <si>
    <t>Pumpestationer i brønde (&lt; 6,25 m2), SRO</t>
  </si>
  <si>
    <t>Fane 10: Bortfald eller nedsættelse af omkostninger til mål, medfinansiering eller udvidelse</t>
  </si>
  <si>
    <t>Fane 11: Nøgletal</t>
  </si>
  <si>
    <t xml:space="preserve">Samlet </t>
  </si>
  <si>
    <t>Økonomisk ramme for 2019 efter fusion</t>
  </si>
  <si>
    <t>Ingen anlægsprojekter</t>
  </si>
  <si>
    <t>Spildevandsafgift</t>
  </si>
  <si>
    <t>Nye påvirkelige tillæg for Vordingborg Spildevand A/S</t>
  </si>
  <si>
    <t>Nye påvirkelige tillæg for Vordingborg Rens A/S</t>
  </si>
  <si>
    <t>Anlægsprojekter igangsat inden 1. marts 2016 for Vordingborg Spildevand A/S</t>
  </si>
  <si>
    <t>Anlægsprojekter igangsat inden 1. marts 2016 for Vordingborg Rens A/S</t>
  </si>
  <si>
    <t>Vordingborg Spildevand A/S</t>
  </si>
  <si>
    <t>Vordingborg Rens A/S</t>
  </si>
  <si>
    <t>Faktiske ikke-påvirkelige omkostninger i 2017 for Vordingborg Spildevand A/S</t>
  </si>
  <si>
    <t>Faktiske ikke-påvirkelige omkostninger i 2017 for Vordingborg Rens A/S</t>
  </si>
  <si>
    <t>Faktiske ikke-påvirkelige omkostninger i 2017 for Vordingborg Spildevand A/S efter fusion</t>
  </si>
  <si>
    <t>Kontrol med overholdelse af den økonomiske ramme for 2017 for Vordingborg Spildevand A/S</t>
  </si>
  <si>
    <t>Til indregning i de økonomiske rammer for 2020-2021 for Vordingborg Spildevand A/S</t>
  </si>
  <si>
    <t>Kontrol med overholdelse af den økonomiske ramme for 2017 for Vordingborg Rens A/S</t>
  </si>
  <si>
    <t>Til indregning i de økonomiske rammer for 2020-2021 for Vordingborg Rens A/S</t>
  </si>
  <si>
    <t>Kontrol med overholdelse af den økonomiske ramme for 2017 for Vordingborg Spildevand A/S efter fusion</t>
  </si>
  <si>
    <t>Til indregning i de økonomiske rammer for 2020-2021 for Vordingborg Spildevand A/S efter fusion</t>
  </si>
  <si>
    <t>Bortfald eller nedsættelse for Vordingborg Spildevand A/S</t>
  </si>
  <si>
    <t>Bortfald eller nedsættelse for Vordingborg Rens A/S</t>
  </si>
  <si>
    <t>Individuelt effektiviseringskrav Vordingborg Spildevand A/S</t>
  </si>
  <si>
    <t>Individuelt effektiviseringskrav Vordingborg Rens A/S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</si>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</sst>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9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3" fontId="7" fillId="3" borderId="12" xfId="0" applyNumberFormat="1" applyFont="1" applyFill="1" applyBorder="1" applyAlignment="1" applyProtection="1">
      <alignment wrapText="1"/>
    </xf>
    <xf numFmtId="0" fontId="7" fillId="3" borderId="12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0" fillId="0" borderId="0" xfId="0" applyAlignment="1" applyProtection="1">
      <alignment wrapText="1"/>
    </xf>
    <xf numFmtId="3" fontId="0" fillId="0" borderId="0" xfId="0" applyNumberFormat="1" applyAlignment="1" applyProtection="1">
      <alignment wrapText="1"/>
    </xf>
    <xf numFmtId="0" fontId="7" fillId="3" borderId="2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3" fontId="8" fillId="9" borderId="6" xfId="0" applyNumberFormat="1" applyFont="1" applyFill="1" applyBorder="1" applyAlignment="1" applyProtection="1">
      <alignment wrapText="1"/>
    </xf>
    <xf numFmtId="0" fontId="8" fillId="9" borderId="8" xfId="0" applyFont="1" applyFill="1" applyBorder="1" applyAlignment="1" applyProtection="1">
      <alignment wrapText="1"/>
    </xf>
    <xf numFmtId="3" fontId="8" fillId="4" borderId="1" xfId="0" applyNumberFormat="1" applyFont="1" applyFill="1" applyBorder="1" applyAlignment="1" applyProtection="1">
      <alignment wrapText="1"/>
    </xf>
    <xf numFmtId="0" fontId="7" fillId="3" borderId="11" xfId="0" applyFont="1" applyFill="1" applyBorder="1" applyAlignment="1" applyProtection="1">
      <alignment wrapText="1"/>
    </xf>
    <xf numFmtId="0" fontId="7" fillId="3" borderId="5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3" fontId="8" fillId="9" borderId="4" xfId="0" applyNumberFormat="1" applyFont="1" applyFill="1" applyBorder="1" applyAlignment="1" applyProtection="1">
      <alignment wrapText="1"/>
    </xf>
    <xf numFmtId="3" fontId="8" fillId="9" borderId="8" xfId="0" applyNumberFormat="1" applyFont="1" applyFill="1" applyBorder="1" applyAlignment="1" applyProtection="1">
      <alignment wrapText="1"/>
    </xf>
    <xf numFmtId="0" fontId="9" fillId="2" borderId="0" xfId="0" applyFont="1" applyFill="1" applyAlignment="1" applyProtection="1">
      <alignment wrapText="1"/>
    </xf>
    <xf numFmtId="0" fontId="8" fillId="2" borderId="0" xfId="0" applyFont="1" applyFill="1" applyAlignment="1" applyProtection="1">
      <alignment wrapText="1"/>
    </xf>
    <xf numFmtId="165" fontId="8" fillId="9" borderId="1" xfId="1" applyNumberFormat="1" applyFont="1" applyFill="1" applyBorder="1" applyAlignment="1" applyProtection="1">
      <alignment wrapText="1"/>
    </xf>
    <xf numFmtId="165" fontId="8" fillId="9" borderId="1" xfId="0" applyNumberFormat="1" applyFont="1" applyFill="1" applyBorder="1" applyAlignment="1" applyProtection="1">
      <alignment wrapText="1"/>
    </xf>
    <xf numFmtId="10" fontId="8" fillId="9" borderId="1" xfId="4" applyNumberFormat="1" applyFont="1" applyFill="1" applyBorder="1" applyAlignment="1" applyProtection="1">
      <alignment wrapText="1"/>
    </xf>
    <xf numFmtId="3" fontId="10" fillId="4" borderId="1" xfId="0" applyNumberFormat="1" applyFont="1" applyFill="1" applyBorder="1" applyAlignment="1" applyProtection="1">
      <alignment wrapText="1"/>
    </xf>
    <xf numFmtId="0" fontId="10" fillId="4" borderId="1" xfId="0" applyFont="1" applyFill="1" applyBorder="1" applyAlignment="1" applyProtection="1">
      <alignment wrapText="1"/>
    </xf>
    <xf numFmtId="49" fontId="8" fillId="9" borderId="2" xfId="0" applyNumberFormat="1" applyFont="1" applyFill="1" applyBorder="1" applyAlignment="1" applyProtection="1">
      <alignment wrapText="1"/>
    </xf>
    <xf numFmtId="49" fontId="8" fillId="9" borderId="10" xfId="0" applyNumberFormat="1" applyFont="1" applyFill="1" applyBorder="1" applyAlignment="1" applyProtection="1">
      <alignment wrapText="1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15" fillId="2" borderId="0" xfId="0" applyFont="1" applyFill="1" applyAlignment="1" applyProtection="1">
      <alignment horizont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 vertical="top" wrapText="1"/>
    </xf>
    <xf numFmtId="0" fontId="8" fillId="9" borderId="10" xfId="0" quotePrefix="1" applyFont="1" applyFill="1" applyBorder="1" applyAlignment="1" applyProtection="1">
      <alignment horizontal="left" vertical="top" wrapText="1"/>
    </xf>
    <xf numFmtId="0" fontId="8" fillId="9" borderId="3" xfId="0" quotePrefix="1" applyFont="1" applyFill="1" applyBorder="1" applyAlignment="1" applyProtection="1">
      <alignment horizontal="left" vertical="top" wrapText="1"/>
    </xf>
    <xf numFmtId="0" fontId="7" fillId="3" borderId="2" xfId="0" applyFont="1" applyFill="1" applyBorder="1" applyAlignment="1" applyProtection="1">
      <alignment horizontal="left" vertical="top" wrapText="1"/>
    </xf>
    <xf numFmtId="0" fontId="7" fillId="3" borderId="10" xfId="0" applyFont="1" applyFill="1" applyBorder="1" applyAlignment="1" applyProtection="1">
      <alignment horizontal="left" vertical="top" wrapText="1"/>
    </xf>
    <xf numFmtId="0" fontId="7" fillId="3" borderId="3" xfId="0" applyFont="1" applyFill="1" applyBorder="1" applyAlignment="1" applyProtection="1">
      <alignment horizontal="left" vertical="top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vertical="top" wrapText="1"/>
    </xf>
    <xf numFmtId="0" fontId="8" fillId="4" borderId="10" xfId="0" applyFont="1" applyFill="1" applyBorder="1" applyAlignment="1" applyProtection="1">
      <alignment horizontal="left" vertical="top" wrapText="1"/>
    </xf>
    <xf numFmtId="0" fontId="8" fillId="4" borderId="3" xfId="0" applyFont="1" applyFill="1" applyBorder="1" applyAlignment="1" applyProtection="1">
      <alignment horizontal="left" vertical="top" wrapText="1"/>
    </xf>
    <xf numFmtId="0" fontId="8" fillId="9" borderId="2" xfId="0" applyFont="1" applyFill="1" applyBorder="1" applyAlignment="1" applyProtection="1">
      <alignment horizontal="left" vertical="top" wrapText="1"/>
    </xf>
    <xf numFmtId="0" fontId="8" fillId="9" borderId="10" xfId="0" applyFont="1" applyFill="1" applyBorder="1" applyAlignment="1" applyProtection="1">
      <alignment horizontal="left" vertical="top" wrapText="1"/>
    </xf>
    <xf numFmtId="0" fontId="8" fillId="9" borderId="3" xfId="0" applyFont="1" applyFill="1" applyBorder="1" applyAlignment="1" applyProtection="1">
      <alignment horizontal="left" vertical="top" wrapText="1"/>
    </xf>
    <xf numFmtId="0" fontId="10" fillId="4" borderId="2" xfId="0" applyFont="1" applyFill="1" applyBorder="1" applyAlignment="1" applyProtection="1">
      <alignment horizontal="left" vertical="top" wrapText="1"/>
    </xf>
    <xf numFmtId="0" fontId="10" fillId="4" borderId="10" xfId="0" applyFont="1" applyFill="1" applyBorder="1" applyAlignment="1" applyProtection="1">
      <alignment horizontal="left" vertical="top" wrapText="1"/>
    </xf>
    <xf numFmtId="0" fontId="10" fillId="4" borderId="3" xfId="0" applyFont="1" applyFill="1" applyBorder="1" applyAlignment="1" applyProtection="1">
      <alignment horizontal="left" vertical="top" wrapText="1"/>
    </xf>
    <xf numFmtId="0" fontId="2" fillId="2" borderId="0" xfId="0" applyFont="1" applyFill="1" applyAlignment="1" applyProtection="1">
      <alignment horizontal="left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 t="s">
        <v>164</v>
      </c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0" t="s">
        <v>3</v>
      </c>
      <c r="E6" s="70"/>
      <c r="F6" s="70"/>
      <c r="G6" s="70"/>
      <c r="H6" s="3"/>
      <c r="I6" s="1"/>
    </row>
    <row r="7" spans="1:9" ht="15" customHeight="1" x14ac:dyDescent="0.25">
      <c r="A7" s="1"/>
      <c r="B7" s="1"/>
      <c r="C7" s="3"/>
      <c r="D7" s="70"/>
      <c r="E7" s="70"/>
      <c r="F7" s="70"/>
      <c r="G7" s="70"/>
      <c r="H7" s="3"/>
      <c r="I7" s="1"/>
    </row>
    <row r="8" spans="1:9" ht="15.75" x14ac:dyDescent="0.25">
      <c r="A8" s="1"/>
      <c r="B8" s="1"/>
      <c r="C8" s="4"/>
      <c r="D8" s="75" t="s">
        <v>118</v>
      </c>
      <c r="E8" s="75"/>
      <c r="F8" s="75"/>
      <c r="G8" s="7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4" t="s">
        <v>4</v>
      </c>
      <c r="E11" s="74"/>
      <c r="F11" s="74"/>
      <c r="G11" s="7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67" t="s">
        <v>31</v>
      </c>
      <c r="E13" s="68"/>
      <c r="F13" s="68"/>
      <c r="G13" s="69"/>
      <c r="H13" s="1"/>
      <c r="I13" s="1"/>
    </row>
    <row r="14" spans="1:9" x14ac:dyDescent="0.25">
      <c r="A14" s="1"/>
      <c r="B14" s="1"/>
      <c r="C14" s="6" t="s">
        <v>30</v>
      </c>
      <c r="D14" s="67" t="s">
        <v>91</v>
      </c>
      <c r="E14" s="68"/>
      <c r="F14" s="68"/>
      <c r="G14" s="69"/>
      <c r="H14" s="1"/>
      <c r="I14" s="1"/>
    </row>
    <row r="15" spans="1:9" x14ac:dyDescent="0.25">
      <c r="A15" s="1"/>
      <c r="B15" s="1"/>
      <c r="C15" s="6" t="s">
        <v>90</v>
      </c>
      <c r="D15" s="67" t="s">
        <v>93</v>
      </c>
      <c r="E15" s="68"/>
      <c r="F15" s="68"/>
      <c r="G15" s="69"/>
      <c r="H15" s="1"/>
      <c r="I15" s="1"/>
    </row>
    <row r="16" spans="1:9" x14ac:dyDescent="0.25">
      <c r="A16" s="1"/>
      <c r="B16" s="1"/>
      <c r="C16" s="6" t="s">
        <v>92</v>
      </c>
      <c r="D16" s="67" t="s">
        <v>119</v>
      </c>
      <c r="E16" s="68"/>
      <c r="F16" s="68"/>
      <c r="G16" s="69"/>
      <c r="H16" s="1"/>
      <c r="I16" s="1"/>
    </row>
    <row r="17" spans="1:9" x14ac:dyDescent="0.25">
      <c r="A17" s="1"/>
      <c r="B17" s="1"/>
      <c r="C17" s="6" t="s">
        <v>6</v>
      </c>
      <c r="D17" s="76" t="s">
        <v>94</v>
      </c>
      <c r="E17" s="77"/>
      <c r="F17" s="77"/>
      <c r="G17" s="78"/>
      <c r="H17" s="1"/>
      <c r="I17" s="1"/>
    </row>
    <row r="18" spans="1:9" x14ac:dyDescent="0.25">
      <c r="A18" s="1"/>
      <c r="B18" s="1"/>
      <c r="C18" s="6" t="s">
        <v>7</v>
      </c>
      <c r="D18" s="76" t="s">
        <v>95</v>
      </c>
      <c r="E18" s="77"/>
      <c r="F18" s="77"/>
      <c r="G18" s="78"/>
      <c r="H18" s="1"/>
      <c r="I18" s="1"/>
    </row>
    <row r="19" spans="1:9" x14ac:dyDescent="0.25">
      <c r="A19" s="1"/>
      <c r="B19" s="1"/>
      <c r="C19" s="6" t="s">
        <v>8</v>
      </c>
      <c r="D19" s="82" t="s">
        <v>99</v>
      </c>
      <c r="E19" s="83"/>
      <c r="F19" s="83"/>
      <c r="G19" s="84"/>
      <c r="H19" s="1"/>
      <c r="I19" s="1"/>
    </row>
    <row r="20" spans="1:9" x14ac:dyDescent="0.25">
      <c r="A20" s="1"/>
      <c r="B20" s="1"/>
      <c r="C20" s="6" t="s">
        <v>9</v>
      </c>
      <c r="D20" s="71" t="s">
        <v>96</v>
      </c>
      <c r="E20" s="72"/>
      <c r="F20" s="72"/>
      <c r="G20" s="73"/>
      <c r="H20" s="1"/>
      <c r="I20" s="1"/>
    </row>
    <row r="21" spans="1:9" x14ac:dyDescent="0.25">
      <c r="A21" s="1"/>
      <c r="B21" s="1"/>
      <c r="C21" s="6" t="s">
        <v>10</v>
      </c>
      <c r="D21" s="71" t="s">
        <v>117</v>
      </c>
      <c r="E21" s="72"/>
      <c r="F21" s="72"/>
      <c r="G21" s="73"/>
      <c r="H21" s="1"/>
      <c r="I21" s="1"/>
    </row>
    <row r="22" spans="1:9" x14ac:dyDescent="0.25">
      <c r="A22" s="1"/>
      <c r="B22" s="1"/>
      <c r="C22" s="6" t="s">
        <v>11</v>
      </c>
      <c r="D22" s="71" t="s">
        <v>100</v>
      </c>
      <c r="E22" s="72"/>
      <c r="F22" s="72"/>
      <c r="G22" s="73"/>
      <c r="H22" s="1"/>
      <c r="I22" s="1"/>
    </row>
    <row r="23" spans="1:9" x14ac:dyDescent="0.25">
      <c r="A23" s="1"/>
      <c r="B23" s="1"/>
      <c r="C23" s="6" t="s">
        <v>12</v>
      </c>
      <c r="D23" s="85" t="s">
        <v>28</v>
      </c>
      <c r="E23" s="86"/>
      <c r="F23" s="86"/>
      <c r="G23" s="87"/>
      <c r="H23" s="1"/>
      <c r="I23" s="1"/>
    </row>
    <row r="24" spans="1:9" x14ac:dyDescent="0.25">
      <c r="A24" s="1"/>
      <c r="B24" s="1"/>
      <c r="C24" s="6" t="s">
        <v>26</v>
      </c>
      <c r="D24" s="79" t="s">
        <v>97</v>
      </c>
      <c r="E24" s="80"/>
      <c r="F24" s="80"/>
      <c r="G24" s="81"/>
      <c r="H24" s="1"/>
      <c r="I24" s="1"/>
    </row>
    <row r="25" spans="1:9" x14ac:dyDescent="0.25">
      <c r="A25" s="1"/>
      <c r="B25" s="1"/>
      <c r="C25" s="6" t="s">
        <v>29</v>
      </c>
      <c r="D25" s="79" t="s">
        <v>51</v>
      </c>
      <c r="E25" s="80"/>
      <c r="F25" s="80"/>
      <c r="G25" s="8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algorithmName="SHA-512" hashValue="sVOpgROKrZJAoCYbOpQE3RJT9ep2dCUdD8aN+QrnADH+NdQ+wONrm4Pw+1r3F6pQWaLQceYF6BRAZml7aLQr2w==" saltValue="wYHLsTYCFCnSzwvyuusgMA==" spinCount="100000" sheet="1" objects="1" scenarios="1"/>
  <mergeCells count="16">
    <mergeCell ref="D24:G24"/>
    <mergeCell ref="D25:G25"/>
    <mergeCell ref="D19:G19"/>
    <mergeCell ref="D21:G21"/>
    <mergeCell ref="D22:G22"/>
    <mergeCell ref="D23:G23"/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9"/>
  <sheetViews>
    <sheetView showGridLines="0" view="pageLayout" zoomScaleNormal="100" workbookViewId="0">
      <selection activeCell="B3" sqref="B3:H4"/>
    </sheetView>
  </sheetViews>
  <sheetFormatPr defaultColWidth="9.140625" defaultRowHeight="15" x14ac:dyDescent="0.25"/>
  <cols>
    <col min="1" max="1" width="3" style="44" customWidth="1"/>
    <col min="2" max="3" width="9.140625" style="44"/>
    <col min="4" max="4" width="31.140625" style="44" customWidth="1"/>
    <col min="5" max="5" width="10.7109375" style="44" customWidth="1"/>
    <col min="6" max="6" width="3.28515625" style="44" customWidth="1"/>
    <col min="7" max="7" width="10.7109375" style="44" customWidth="1"/>
    <col min="8" max="8" width="3.28515625" style="44" customWidth="1"/>
    <col min="9" max="9" width="3.85546875" style="44" customWidth="1"/>
    <col min="10" max="16384" width="9.140625" style="44"/>
  </cols>
  <sheetData>
    <row r="1" spans="1:9" x14ac:dyDescent="0.25">
      <c r="A1" s="43"/>
      <c r="B1" s="43"/>
      <c r="C1" s="43"/>
      <c r="D1" s="43"/>
      <c r="E1" s="43"/>
      <c r="F1" s="43"/>
      <c r="G1" s="43"/>
      <c r="H1" s="43"/>
      <c r="I1" s="43"/>
    </row>
    <row r="2" spans="1:9" x14ac:dyDescent="0.25">
      <c r="A2" s="43"/>
      <c r="B2" s="43"/>
      <c r="C2" s="43"/>
      <c r="D2" s="43"/>
      <c r="E2" s="43"/>
      <c r="F2" s="43"/>
      <c r="G2" s="43"/>
      <c r="H2" s="43"/>
      <c r="I2" s="43"/>
    </row>
    <row r="3" spans="1:9" x14ac:dyDescent="0.25">
      <c r="A3" s="43"/>
      <c r="B3" s="111" t="s">
        <v>121</v>
      </c>
      <c r="C3" s="111"/>
      <c r="D3" s="111"/>
      <c r="E3" s="111"/>
      <c r="F3" s="111"/>
      <c r="G3" s="111"/>
      <c r="H3" s="111"/>
      <c r="I3" s="43"/>
    </row>
    <row r="4" spans="1:9" ht="21.6" customHeight="1" x14ac:dyDescent="0.25">
      <c r="A4" s="43"/>
      <c r="B4" s="111"/>
      <c r="C4" s="111"/>
      <c r="D4" s="111"/>
      <c r="E4" s="111"/>
      <c r="F4" s="111"/>
      <c r="G4" s="111"/>
      <c r="H4" s="111"/>
      <c r="I4" s="43"/>
    </row>
    <row r="5" spans="1:9" x14ac:dyDescent="0.25">
      <c r="A5" s="43"/>
      <c r="B5" s="43"/>
      <c r="C5" s="43"/>
      <c r="D5" s="43"/>
      <c r="E5" s="43"/>
      <c r="F5" s="43"/>
      <c r="G5" s="43"/>
      <c r="H5" s="43"/>
      <c r="I5" s="43"/>
    </row>
    <row r="6" spans="1:9" x14ac:dyDescent="0.25">
      <c r="A6" s="43"/>
      <c r="B6" s="90" t="s">
        <v>154</v>
      </c>
      <c r="C6" s="91"/>
      <c r="D6" s="91"/>
      <c r="E6" s="91"/>
      <c r="F6" s="91"/>
      <c r="G6" s="91"/>
      <c r="H6" s="92"/>
      <c r="I6" s="43"/>
    </row>
    <row r="7" spans="1:9" x14ac:dyDescent="0.25">
      <c r="A7" s="43"/>
      <c r="B7" s="99" t="s">
        <v>101</v>
      </c>
      <c r="C7" s="100"/>
      <c r="D7" s="101"/>
      <c r="E7" s="7">
        <v>79633273.852777183</v>
      </c>
      <c r="F7" s="8" t="s">
        <v>2</v>
      </c>
      <c r="G7" s="9"/>
      <c r="H7" s="10"/>
      <c r="I7" s="43"/>
    </row>
    <row r="8" spans="1:9" x14ac:dyDescent="0.25">
      <c r="A8" s="43"/>
      <c r="B8" s="99" t="s">
        <v>102</v>
      </c>
      <c r="C8" s="100"/>
      <c r="D8" s="101"/>
      <c r="E8" s="7">
        <v>57819362</v>
      </c>
      <c r="F8" s="8" t="s">
        <v>2</v>
      </c>
      <c r="G8" s="20"/>
      <c r="H8" s="12"/>
      <c r="I8" s="43"/>
    </row>
    <row r="9" spans="1:9" x14ac:dyDescent="0.25">
      <c r="A9" s="43"/>
      <c r="B9" s="99" t="s">
        <v>108</v>
      </c>
      <c r="C9" s="100"/>
      <c r="D9" s="101"/>
      <c r="E9" s="7">
        <v>0</v>
      </c>
      <c r="F9" s="8" t="s">
        <v>2</v>
      </c>
      <c r="G9" s="20"/>
      <c r="H9" s="12"/>
      <c r="I9" s="43"/>
    </row>
    <row r="10" spans="1:9" x14ac:dyDescent="0.25">
      <c r="A10" s="43"/>
      <c r="B10" s="18" t="s">
        <v>103</v>
      </c>
      <c r="C10" s="19"/>
      <c r="D10" s="24"/>
      <c r="E10" s="51">
        <f>E7-(E8-E9)</f>
        <v>21813911.852777183</v>
      </c>
      <c r="F10" s="14" t="s">
        <v>2</v>
      </c>
      <c r="G10" s="51">
        <f>E10</f>
        <v>21813911.852777183</v>
      </c>
      <c r="H10" s="14" t="s">
        <v>2</v>
      </c>
      <c r="I10" s="43"/>
    </row>
    <row r="11" spans="1:9" x14ac:dyDescent="0.25">
      <c r="A11" s="43"/>
      <c r="B11" s="46"/>
      <c r="C11" s="48"/>
      <c r="D11" s="48"/>
      <c r="E11" s="48"/>
      <c r="F11" s="48"/>
      <c r="G11" s="48"/>
      <c r="H11" s="47"/>
      <c r="I11" s="43"/>
    </row>
    <row r="12" spans="1:9" x14ac:dyDescent="0.25">
      <c r="A12" s="43"/>
      <c r="B12" s="43"/>
      <c r="C12" s="43"/>
      <c r="D12" s="43"/>
      <c r="E12" s="43"/>
      <c r="F12" s="43"/>
      <c r="G12" s="43"/>
      <c r="H12" s="43"/>
      <c r="I12" s="43"/>
    </row>
    <row r="13" spans="1:9" x14ac:dyDescent="0.25">
      <c r="A13" s="43"/>
      <c r="B13" s="90" t="s">
        <v>155</v>
      </c>
      <c r="C13" s="91"/>
      <c r="D13" s="91"/>
      <c r="E13" s="91"/>
      <c r="F13" s="91"/>
      <c r="G13" s="91"/>
      <c r="H13" s="92"/>
      <c r="I13" s="43"/>
    </row>
    <row r="14" spans="1:9" x14ac:dyDescent="0.25">
      <c r="A14" s="43"/>
      <c r="B14" s="112" t="s">
        <v>113</v>
      </c>
      <c r="C14" s="113"/>
      <c r="D14" s="114"/>
      <c r="E14" s="7">
        <f>IF(E10&lt;0,E10,0)</f>
        <v>0</v>
      </c>
      <c r="F14" s="8" t="s">
        <v>2</v>
      </c>
      <c r="G14" s="20"/>
      <c r="H14" s="12"/>
      <c r="I14" s="43"/>
    </row>
    <row r="15" spans="1:9" x14ac:dyDescent="0.25">
      <c r="A15" s="43"/>
      <c r="B15" s="112" t="s">
        <v>109</v>
      </c>
      <c r="C15" s="113"/>
      <c r="D15" s="114"/>
      <c r="E15" s="7">
        <v>2</v>
      </c>
      <c r="F15" s="8" t="s">
        <v>36</v>
      </c>
      <c r="G15" s="20"/>
      <c r="H15" s="12"/>
      <c r="I15" s="43"/>
    </row>
    <row r="16" spans="1:9" x14ac:dyDescent="0.25">
      <c r="A16" s="43"/>
      <c r="B16" s="112" t="s">
        <v>114</v>
      </c>
      <c r="C16" s="113"/>
      <c r="D16" s="114"/>
      <c r="E16" s="7">
        <f>E14/E15</f>
        <v>0</v>
      </c>
      <c r="F16" s="8" t="s">
        <v>2</v>
      </c>
      <c r="G16" s="20"/>
      <c r="H16" s="12"/>
      <c r="I16" s="43"/>
    </row>
    <row r="17" spans="1:9" ht="26.25" x14ac:dyDescent="0.25">
      <c r="A17" s="43"/>
      <c r="B17" s="90" t="s">
        <v>110</v>
      </c>
      <c r="C17" s="91"/>
      <c r="D17" s="91"/>
      <c r="E17" s="91"/>
      <c r="F17" s="92"/>
      <c r="G17" s="22">
        <f>E16</f>
        <v>0</v>
      </c>
      <c r="H17" s="23" t="s">
        <v>2</v>
      </c>
      <c r="I17" s="43"/>
    </row>
    <row r="18" spans="1:9" ht="26.25" x14ac:dyDescent="0.25">
      <c r="A18" s="43"/>
      <c r="B18" s="90" t="s">
        <v>111</v>
      </c>
      <c r="C18" s="91"/>
      <c r="D18" s="91"/>
      <c r="E18" s="91"/>
      <c r="F18" s="92"/>
      <c r="G18" s="22">
        <f>G17*(1+Prisudvikling2019)^3</f>
        <v>0</v>
      </c>
      <c r="H18" s="23" t="s">
        <v>2</v>
      </c>
      <c r="I18" s="43"/>
    </row>
    <row r="19" spans="1:9" x14ac:dyDescent="0.25">
      <c r="A19" s="43"/>
      <c r="B19" s="43"/>
      <c r="C19" s="43"/>
      <c r="D19" s="43"/>
      <c r="E19" s="43"/>
      <c r="F19" s="43"/>
      <c r="G19" s="43"/>
      <c r="H19" s="43"/>
      <c r="I19" s="43"/>
    </row>
    <row r="20" spans="1:9" x14ac:dyDescent="0.25">
      <c r="A20" s="43"/>
      <c r="B20" s="90" t="s">
        <v>156</v>
      </c>
      <c r="C20" s="91"/>
      <c r="D20" s="91"/>
      <c r="E20" s="91"/>
      <c r="F20" s="91"/>
      <c r="G20" s="91"/>
      <c r="H20" s="92"/>
      <c r="I20" s="43"/>
    </row>
    <row r="21" spans="1:9" x14ac:dyDescent="0.25">
      <c r="A21" s="43"/>
      <c r="B21" s="99" t="s">
        <v>101</v>
      </c>
      <c r="C21" s="100"/>
      <c r="D21" s="101"/>
      <c r="E21" s="7">
        <v>22356050.605601553</v>
      </c>
      <c r="F21" s="8" t="s">
        <v>2</v>
      </c>
      <c r="G21" s="9"/>
      <c r="H21" s="10"/>
      <c r="I21" s="43"/>
    </row>
    <row r="22" spans="1:9" x14ac:dyDescent="0.25">
      <c r="A22" s="43"/>
      <c r="B22" s="99" t="s">
        <v>102</v>
      </c>
      <c r="C22" s="100"/>
      <c r="D22" s="101"/>
      <c r="E22" s="7">
        <v>21605749</v>
      </c>
      <c r="F22" s="8" t="s">
        <v>2</v>
      </c>
      <c r="G22" s="20"/>
      <c r="H22" s="12"/>
      <c r="I22" s="43"/>
    </row>
    <row r="23" spans="1:9" x14ac:dyDescent="0.25">
      <c r="A23" s="43"/>
      <c r="B23" s="99" t="s">
        <v>108</v>
      </c>
      <c r="C23" s="100"/>
      <c r="D23" s="101"/>
      <c r="E23" s="7">
        <v>0</v>
      </c>
      <c r="F23" s="8" t="s">
        <v>2</v>
      </c>
      <c r="G23" s="20"/>
      <c r="H23" s="12"/>
      <c r="I23" s="43"/>
    </row>
    <row r="24" spans="1:9" x14ac:dyDescent="0.25">
      <c r="A24" s="43"/>
      <c r="B24" s="18" t="s">
        <v>103</v>
      </c>
      <c r="C24" s="19"/>
      <c r="D24" s="24"/>
      <c r="E24" s="51">
        <f>E21-(E22-E23)</f>
        <v>750301.60560155287</v>
      </c>
      <c r="F24" s="14" t="s">
        <v>2</v>
      </c>
      <c r="G24" s="51">
        <f>E24</f>
        <v>750301.60560155287</v>
      </c>
      <c r="H24" s="14" t="s">
        <v>2</v>
      </c>
      <c r="I24" s="43"/>
    </row>
    <row r="25" spans="1:9" x14ac:dyDescent="0.25">
      <c r="A25" s="43"/>
      <c r="B25" s="46"/>
      <c r="C25" s="48"/>
      <c r="D25" s="48"/>
      <c r="E25" s="48"/>
      <c r="F25" s="48"/>
      <c r="G25" s="48"/>
      <c r="H25" s="47"/>
      <c r="I25" s="43"/>
    </row>
    <row r="26" spans="1:9" x14ac:dyDescent="0.25">
      <c r="A26" s="43"/>
      <c r="B26" s="43"/>
      <c r="C26" s="43"/>
      <c r="D26" s="43"/>
      <c r="E26" s="43"/>
      <c r="F26" s="43"/>
      <c r="G26" s="43"/>
      <c r="H26" s="43"/>
      <c r="I26" s="43"/>
    </row>
    <row r="27" spans="1:9" x14ac:dyDescent="0.25">
      <c r="A27" s="43"/>
      <c r="B27" s="90" t="s">
        <v>157</v>
      </c>
      <c r="C27" s="91"/>
      <c r="D27" s="91"/>
      <c r="E27" s="91"/>
      <c r="F27" s="91"/>
      <c r="G27" s="91"/>
      <c r="H27" s="92"/>
      <c r="I27" s="43"/>
    </row>
    <row r="28" spans="1:9" x14ac:dyDescent="0.25">
      <c r="A28" s="43"/>
      <c r="B28" s="112" t="s">
        <v>113</v>
      </c>
      <c r="C28" s="113"/>
      <c r="D28" s="114"/>
      <c r="E28" s="7">
        <f>IF(E24&lt;0,E24,0)</f>
        <v>0</v>
      </c>
      <c r="F28" s="8" t="s">
        <v>2</v>
      </c>
      <c r="G28" s="20"/>
      <c r="H28" s="12"/>
      <c r="I28" s="43"/>
    </row>
    <row r="29" spans="1:9" x14ac:dyDescent="0.25">
      <c r="A29" s="43"/>
      <c r="B29" s="112" t="s">
        <v>109</v>
      </c>
      <c r="C29" s="113"/>
      <c r="D29" s="114"/>
      <c r="E29" s="7">
        <v>2</v>
      </c>
      <c r="F29" s="8" t="s">
        <v>36</v>
      </c>
      <c r="G29" s="20"/>
      <c r="H29" s="12"/>
      <c r="I29" s="43"/>
    </row>
    <row r="30" spans="1:9" x14ac:dyDescent="0.25">
      <c r="A30" s="43"/>
      <c r="B30" s="112" t="s">
        <v>114</v>
      </c>
      <c r="C30" s="113"/>
      <c r="D30" s="114"/>
      <c r="E30" s="7">
        <f>E28/E29</f>
        <v>0</v>
      </c>
      <c r="F30" s="8" t="s">
        <v>2</v>
      </c>
      <c r="G30" s="20"/>
      <c r="H30" s="12"/>
      <c r="I30" s="43"/>
    </row>
    <row r="31" spans="1:9" ht="26.25" x14ac:dyDescent="0.25">
      <c r="A31" s="43"/>
      <c r="B31" s="90" t="s">
        <v>110</v>
      </c>
      <c r="C31" s="91"/>
      <c r="D31" s="91"/>
      <c r="E31" s="91"/>
      <c r="F31" s="92"/>
      <c r="G31" s="22">
        <f>E30</f>
        <v>0</v>
      </c>
      <c r="H31" s="23" t="s">
        <v>2</v>
      </c>
      <c r="I31" s="43"/>
    </row>
    <row r="32" spans="1:9" ht="26.25" x14ac:dyDescent="0.25">
      <c r="A32" s="43"/>
      <c r="B32" s="90" t="s">
        <v>111</v>
      </c>
      <c r="C32" s="91"/>
      <c r="D32" s="91"/>
      <c r="E32" s="91"/>
      <c r="F32" s="92"/>
      <c r="G32" s="22">
        <f>G31*(1+Prisudvikling2019)^3</f>
        <v>0</v>
      </c>
      <c r="H32" s="23" t="s">
        <v>2</v>
      </c>
      <c r="I32" s="43"/>
    </row>
    <row r="33" spans="1:9" x14ac:dyDescent="0.25">
      <c r="A33" s="43"/>
      <c r="B33" s="43"/>
      <c r="C33" s="43"/>
      <c r="D33" s="43"/>
      <c r="E33" s="43"/>
      <c r="F33" s="43"/>
      <c r="G33" s="43"/>
      <c r="H33" s="43"/>
      <c r="I33" s="43"/>
    </row>
    <row r="34" spans="1:9" ht="27" customHeight="1" x14ac:dyDescent="0.25">
      <c r="A34" s="43"/>
      <c r="B34" s="90" t="s">
        <v>158</v>
      </c>
      <c r="C34" s="91"/>
      <c r="D34" s="91"/>
      <c r="E34" s="91"/>
      <c r="F34" s="91"/>
      <c r="G34" s="91"/>
      <c r="H34" s="92"/>
      <c r="I34" s="43"/>
    </row>
    <row r="35" spans="1:9" x14ac:dyDescent="0.25">
      <c r="A35" s="43"/>
      <c r="B35" s="99" t="s">
        <v>101</v>
      </c>
      <c r="C35" s="100"/>
      <c r="D35" s="101"/>
      <c r="E35" s="7">
        <f>+E21+E7</f>
        <v>101989324.45837873</v>
      </c>
      <c r="F35" s="8" t="s">
        <v>2</v>
      </c>
      <c r="G35" s="9"/>
      <c r="H35" s="10"/>
      <c r="I35" s="43"/>
    </row>
    <row r="36" spans="1:9" x14ac:dyDescent="0.25">
      <c r="A36" s="43"/>
      <c r="B36" s="99" t="s">
        <v>102</v>
      </c>
      <c r="C36" s="100"/>
      <c r="D36" s="101"/>
      <c r="E36" s="7">
        <f>+E22+E8</f>
        <v>79425111</v>
      </c>
      <c r="F36" s="8" t="s">
        <v>2</v>
      </c>
      <c r="G36" s="20"/>
      <c r="H36" s="12"/>
      <c r="I36" s="43"/>
    </row>
    <row r="37" spans="1:9" x14ac:dyDescent="0.25">
      <c r="A37" s="43"/>
      <c r="B37" s="99" t="s">
        <v>108</v>
      </c>
      <c r="C37" s="100"/>
      <c r="D37" s="101"/>
      <c r="E37" s="7">
        <v>0</v>
      </c>
      <c r="F37" s="8" t="s">
        <v>2</v>
      </c>
      <c r="G37" s="20"/>
      <c r="H37" s="12"/>
      <c r="I37" s="43"/>
    </row>
    <row r="38" spans="1:9" x14ac:dyDescent="0.25">
      <c r="A38" s="43"/>
      <c r="B38" s="18" t="s">
        <v>103</v>
      </c>
      <c r="C38" s="19"/>
      <c r="D38" s="24"/>
      <c r="E38" s="51">
        <f>E35-(E36-E37)</f>
        <v>22564213.458378732</v>
      </c>
      <c r="F38" s="14" t="s">
        <v>2</v>
      </c>
      <c r="G38" s="51">
        <f>E38</f>
        <v>22564213.458378732</v>
      </c>
      <c r="H38" s="14" t="s">
        <v>2</v>
      </c>
      <c r="I38" s="43"/>
    </row>
    <row r="39" spans="1:9" x14ac:dyDescent="0.25">
      <c r="A39" s="43"/>
      <c r="B39" s="46"/>
      <c r="C39" s="48"/>
      <c r="D39" s="48"/>
      <c r="E39" s="48"/>
      <c r="F39" s="48"/>
      <c r="G39" s="48"/>
      <c r="H39" s="47"/>
      <c r="I39" s="43"/>
    </row>
    <row r="40" spans="1:9" x14ac:dyDescent="0.25">
      <c r="A40" s="43"/>
      <c r="B40" s="43"/>
      <c r="C40" s="43"/>
      <c r="D40" s="43"/>
      <c r="E40" s="43"/>
      <c r="F40" s="43"/>
      <c r="G40" s="43"/>
      <c r="H40" s="43"/>
      <c r="I40" s="43"/>
    </row>
    <row r="41" spans="1:9" x14ac:dyDescent="0.25">
      <c r="A41" s="43"/>
      <c r="B41" s="90" t="s">
        <v>159</v>
      </c>
      <c r="C41" s="91"/>
      <c r="D41" s="91"/>
      <c r="E41" s="91"/>
      <c r="F41" s="91"/>
      <c r="G41" s="91"/>
      <c r="H41" s="92"/>
      <c r="I41" s="43"/>
    </row>
    <row r="42" spans="1:9" x14ac:dyDescent="0.25">
      <c r="A42" s="43"/>
      <c r="B42" s="112" t="s">
        <v>113</v>
      </c>
      <c r="C42" s="113"/>
      <c r="D42" s="114"/>
      <c r="E42" s="7">
        <v>0</v>
      </c>
      <c r="F42" s="8" t="s">
        <v>2</v>
      </c>
      <c r="G42" s="20"/>
      <c r="H42" s="12"/>
      <c r="I42" s="43"/>
    </row>
    <row r="43" spans="1:9" x14ac:dyDescent="0.25">
      <c r="A43" s="43"/>
      <c r="B43" s="112" t="s">
        <v>109</v>
      </c>
      <c r="C43" s="113"/>
      <c r="D43" s="114"/>
      <c r="E43" s="7">
        <v>2</v>
      </c>
      <c r="F43" s="8" t="s">
        <v>36</v>
      </c>
      <c r="G43" s="20"/>
      <c r="H43" s="12"/>
      <c r="I43" s="43"/>
    </row>
    <row r="44" spans="1:9" x14ac:dyDescent="0.25">
      <c r="A44" s="43"/>
      <c r="B44" s="112" t="s">
        <v>114</v>
      </c>
      <c r="C44" s="113"/>
      <c r="D44" s="114"/>
      <c r="E44" s="7">
        <f>E42/E43</f>
        <v>0</v>
      </c>
      <c r="F44" s="8" t="s">
        <v>2</v>
      </c>
      <c r="G44" s="20"/>
      <c r="H44" s="12"/>
      <c r="I44" s="43"/>
    </row>
    <row r="45" spans="1:9" ht="26.25" x14ac:dyDescent="0.25">
      <c r="A45" s="43"/>
      <c r="B45" s="90" t="s">
        <v>110</v>
      </c>
      <c r="C45" s="91"/>
      <c r="D45" s="91"/>
      <c r="E45" s="91"/>
      <c r="F45" s="92"/>
      <c r="G45" s="22">
        <f>E44</f>
        <v>0</v>
      </c>
      <c r="H45" s="23" t="s">
        <v>2</v>
      </c>
      <c r="I45" s="43"/>
    </row>
    <row r="46" spans="1:9" ht="26.25" x14ac:dyDescent="0.25">
      <c r="A46" s="43"/>
      <c r="B46" s="90" t="s">
        <v>111</v>
      </c>
      <c r="C46" s="91"/>
      <c r="D46" s="91"/>
      <c r="E46" s="91"/>
      <c r="F46" s="92"/>
      <c r="G46" s="22">
        <f>G45*(1+Prisudvikling2019)^3</f>
        <v>0</v>
      </c>
      <c r="H46" s="23" t="s">
        <v>2</v>
      </c>
      <c r="I46" s="43"/>
    </row>
    <row r="47" spans="1:9" x14ac:dyDescent="0.25">
      <c r="A47" s="43"/>
      <c r="B47" s="43"/>
      <c r="C47" s="43"/>
      <c r="D47" s="43"/>
      <c r="E47" s="43"/>
      <c r="F47" s="43"/>
      <c r="G47" s="43"/>
      <c r="H47" s="43"/>
      <c r="I47" s="43"/>
    </row>
    <row r="48" spans="1:9" x14ac:dyDescent="0.25">
      <c r="A48" s="43"/>
      <c r="B48" s="43"/>
      <c r="C48" s="43"/>
      <c r="D48" s="43"/>
      <c r="E48" s="43"/>
      <c r="F48" s="43"/>
      <c r="G48" s="43"/>
      <c r="H48" s="43"/>
      <c r="I48" s="43"/>
    </row>
    <row r="49" spans="1:9" x14ac:dyDescent="0.25">
      <c r="A49" s="43"/>
      <c r="B49" s="43"/>
      <c r="C49" s="43"/>
      <c r="D49" s="43"/>
      <c r="E49" s="43"/>
      <c r="F49" s="43"/>
      <c r="G49" s="43"/>
      <c r="H49" s="43"/>
      <c r="I49" s="43"/>
    </row>
  </sheetData>
  <sheetProtection algorithmName="SHA-512" hashValue="sZDmskCEmFgqDKz49zzobpnSI+sWNhV4WtG9GxPhf6RcPOZ08Bk4xT3S8sH4APlHwFthXF4pqkgIUuQNRaBKjw==" saltValue="XTYi5KMjNogXAdnMB2FagA==" spinCount="100000" sheet="1" objects="1" scenarios="1"/>
  <mergeCells count="31">
    <mergeCell ref="B42:D42"/>
    <mergeCell ref="B43:D43"/>
    <mergeCell ref="B44:D44"/>
    <mergeCell ref="B45:F45"/>
    <mergeCell ref="B46:F46"/>
    <mergeCell ref="B34:H34"/>
    <mergeCell ref="B35:D35"/>
    <mergeCell ref="B36:D36"/>
    <mergeCell ref="B37:D37"/>
    <mergeCell ref="B41:H41"/>
    <mergeCell ref="B28:D28"/>
    <mergeCell ref="B29:D29"/>
    <mergeCell ref="B30:D30"/>
    <mergeCell ref="B31:F31"/>
    <mergeCell ref="B32:F32"/>
    <mergeCell ref="B20:H20"/>
    <mergeCell ref="B21:D21"/>
    <mergeCell ref="B22:D22"/>
    <mergeCell ref="B23:D23"/>
    <mergeCell ref="B27:H27"/>
    <mergeCell ref="B14:D14"/>
    <mergeCell ref="B15:D15"/>
    <mergeCell ref="B16:D16"/>
    <mergeCell ref="B17:F17"/>
    <mergeCell ref="B18:F18"/>
    <mergeCell ref="B3:H4"/>
    <mergeCell ref="B6:H6"/>
    <mergeCell ref="B13:H13"/>
    <mergeCell ref="B7:D7"/>
    <mergeCell ref="B8:D8"/>
    <mergeCell ref="B9:D9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4"/>
  <sheetViews>
    <sheetView showGridLines="0" view="pageLayout" zoomScaleNormal="100" workbookViewId="0">
      <selection activeCell="B6" sqref="B6:H6"/>
    </sheetView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15" t="s">
        <v>125</v>
      </c>
      <c r="C3" s="115"/>
      <c r="D3" s="115"/>
      <c r="E3" s="115"/>
      <c r="F3" s="115"/>
      <c r="G3" s="115"/>
      <c r="H3" s="115"/>
      <c r="I3" s="1"/>
    </row>
    <row r="4" spans="1:9" ht="15" customHeight="1" x14ac:dyDescent="0.25">
      <c r="A4" s="1"/>
      <c r="B4" s="115"/>
      <c r="C4" s="115"/>
      <c r="D4" s="115"/>
      <c r="E4" s="115"/>
      <c r="F4" s="115"/>
      <c r="G4" s="115"/>
      <c r="H4" s="11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16" t="s">
        <v>147</v>
      </c>
      <c r="C6" s="117"/>
      <c r="D6" s="117"/>
      <c r="E6" s="117"/>
      <c r="F6" s="117"/>
      <c r="G6" s="117"/>
      <c r="H6" s="118"/>
      <c r="I6" s="1"/>
    </row>
    <row r="7" spans="1:9" ht="39" customHeight="1" x14ac:dyDescent="0.25">
      <c r="A7" s="1"/>
      <c r="B7" s="25" t="s">
        <v>85</v>
      </c>
      <c r="C7" s="25" t="s">
        <v>0</v>
      </c>
      <c r="D7" s="25" t="s">
        <v>19</v>
      </c>
      <c r="E7" s="14" t="s">
        <v>1</v>
      </c>
      <c r="F7" s="14" t="s">
        <v>21</v>
      </c>
      <c r="G7" s="14" t="s">
        <v>86</v>
      </c>
      <c r="H7" s="24"/>
      <c r="I7" s="1"/>
    </row>
    <row r="8" spans="1:9" x14ac:dyDescent="0.25">
      <c r="A8" s="1"/>
      <c r="B8" s="39" t="s">
        <v>133</v>
      </c>
      <c r="C8" s="40">
        <v>75</v>
      </c>
      <c r="D8" s="11">
        <v>2463022</v>
      </c>
      <c r="E8" s="11">
        <f>D8/C8</f>
        <v>32840.293333333335</v>
      </c>
      <c r="F8" s="11">
        <v>0</v>
      </c>
      <c r="G8" s="11">
        <v>87437</v>
      </c>
      <c r="H8" s="17" t="s">
        <v>2</v>
      </c>
      <c r="I8" s="1"/>
    </row>
    <row r="9" spans="1:9" x14ac:dyDescent="0.25">
      <c r="A9" s="1"/>
      <c r="B9" s="39" t="s">
        <v>134</v>
      </c>
      <c r="C9" s="40">
        <v>75</v>
      </c>
      <c r="D9" s="11">
        <v>688866</v>
      </c>
      <c r="E9" s="11">
        <f t="shared" ref="E9:E11" si="0">D9/C9</f>
        <v>9184.8799999999992</v>
      </c>
      <c r="F9" s="11">
        <v>0</v>
      </c>
      <c r="G9" s="11">
        <v>24455</v>
      </c>
      <c r="H9" s="17" t="s">
        <v>2</v>
      </c>
      <c r="I9" s="1"/>
    </row>
    <row r="10" spans="1:9" x14ac:dyDescent="0.25">
      <c r="A10" s="1"/>
      <c r="B10" s="39" t="s">
        <v>135</v>
      </c>
      <c r="C10" s="40">
        <v>75</v>
      </c>
      <c r="D10" s="11">
        <v>467762</v>
      </c>
      <c r="E10" s="11">
        <f t="shared" si="0"/>
        <v>6236.8266666666668</v>
      </c>
      <c r="F10" s="11">
        <v>0</v>
      </c>
      <c r="G10" s="11">
        <v>16606</v>
      </c>
      <c r="H10" s="17" t="s">
        <v>2</v>
      </c>
      <c r="I10" s="1"/>
    </row>
    <row r="11" spans="1:9" ht="26.25" x14ac:dyDescent="0.25">
      <c r="A11" s="1"/>
      <c r="B11" s="39" t="s">
        <v>136</v>
      </c>
      <c r="C11" s="40">
        <v>50</v>
      </c>
      <c r="D11" s="11">
        <v>619674</v>
      </c>
      <c r="E11" s="11">
        <f t="shared" si="0"/>
        <v>12393.48</v>
      </c>
      <c r="F11" s="11">
        <v>0</v>
      </c>
      <c r="G11" s="11">
        <v>21998</v>
      </c>
      <c r="H11" s="17" t="s">
        <v>2</v>
      </c>
      <c r="I11" s="1"/>
    </row>
    <row r="12" spans="1:9" ht="26.25" x14ac:dyDescent="0.25">
      <c r="A12" s="1"/>
      <c r="B12" s="39" t="s">
        <v>137</v>
      </c>
      <c r="C12" s="40">
        <v>20</v>
      </c>
      <c r="D12" s="11">
        <v>259315</v>
      </c>
      <c r="E12" s="11">
        <f t="shared" ref="E12:E13" si="1">D12/C12</f>
        <v>12965.75</v>
      </c>
      <c r="F12" s="11">
        <v>0</v>
      </c>
      <c r="G12" s="11">
        <v>9206</v>
      </c>
      <c r="H12" s="17" t="s">
        <v>2</v>
      </c>
      <c r="I12" s="1"/>
    </row>
    <row r="13" spans="1:9" ht="26.25" x14ac:dyDescent="0.25">
      <c r="A13" s="1"/>
      <c r="B13" s="39" t="s">
        <v>138</v>
      </c>
      <c r="C13" s="40">
        <v>10</v>
      </c>
      <c r="D13" s="11">
        <v>314251</v>
      </c>
      <c r="E13" s="11">
        <f t="shared" si="1"/>
        <v>31425.1</v>
      </c>
      <c r="F13" s="11">
        <v>0</v>
      </c>
      <c r="G13" s="11">
        <v>11155</v>
      </c>
      <c r="H13" s="17" t="s">
        <v>2</v>
      </c>
      <c r="I13" s="1"/>
    </row>
    <row r="14" spans="1:9" x14ac:dyDescent="0.25">
      <c r="A14" s="1"/>
      <c r="B14" s="116" t="s">
        <v>126</v>
      </c>
      <c r="C14" s="117"/>
      <c r="D14" s="118"/>
      <c r="E14" s="15">
        <f>SUM(E8:E13)</f>
        <v>105046.32999999999</v>
      </c>
      <c r="F14" s="15">
        <f>SUM(F8:F13)</f>
        <v>0</v>
      </c>
      <c r="G14" s="15">
        <f>SUM(G8:G13)</f>
        <v>170857</v>
      </c>
      <c r="H14" s="16" t="s">
        <v>2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16" t="s">
        <v>148</v>
      </c>
      <c r="C16" s="117"/>
      <c r="D16" s="117"/>
      <c r="E16" s="117"/>
      <c r="F16" s="117"/>
      <c r="G16" s="117"/>
      <c r="H16" s="118"/>
      <c r="I16" s="1"/>
    </row>
    <row r="17" spans="1:9" ht="39" x14ac:dyDescent="0.25">
      <c r="A17" s="1"/>
      <c r="B17" s="25" t="s">
        <v>85</v>
      </c>
      <c r="C17" s="25" t="s">
        <v>0</v>
      </c>
      <c r="D17" s="25" t="s">
        <v>19</v>
      </c>
      <c r="E17" s="14" t="s">
        <v>1</v>
      </c>
      <c r="F17" s="14" t="s">
        <v>21</v>
      </c>
      <c r="G17" s="14" t="s">
        <v>86</v>
      </c>
      <c r="H17" s="24"/>
      <c r="I17" s="1"/>
    </row>
    <row r="18" spans="1:9" x14ac:dyDescent="0.25">
      <c r="A18" s="1"/>
      <c r="B18" s="39" t="s">
        <v>143</v>
      </c>
      <c r="C18" s="40"/>
      <c r="D18" s="11"/>
      <c r="E18" s="11"/>
      <c r="F18" s="11"/>
      <c r="G18" s="11"/>
      <c r="H18" s="17" t="s">
        <v>2</v>
      </c>
      <c r="I18" s="1"/>
    </row>
    <row r="19" spans="1:9" x14ac:dyDescent="0.25">
      <c r="A19" s="1"/>
      <c r="B19" s="116" t="s">
        <v>126</v>
      </c>
      <c r="C19" s="117"/>
      <c r="D19" s="118"/>
      <c r="E19" s="15">
        <f>SUM(E18:E18)</f>
        <v>0</v>
      </c>
      <c r="F19" s="15">
        <f>SUM(F18:F18)</f>
        <v>0</v>
      </c>
      <c r="G19" s="15">
        <f>SUM(G18:G18)</f>
        <v>0</v>
      </c>
      <c r="H19" s="16" t="s">
        <v>2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</sheetData>
  <sheetProtection algorithmName="SHA-512" hashValue="cWV5JYxGtjWF/hMZ6c8wL4X9RM2YbqszaSpCmEU1OusTPTwA/jue9UNyIXNLkP5kemi4ZPhyhSJq/r0Zj/2+2A==" saltValue="BbEFDTDDlGgTHCkydiDLhw==" spinCount="100000" sheet="1" objects="1" scenarios="1"/>
  <mergeCells count="5">
    <mergeCell ref="B3:H4"/>
    <mergeCell ref="B6:H6"/>
    <mergeCell ref="B14:D14"/>
    <mergeCell ref="B16:H16"/>
    <mergeCell ref="B19:D19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topLeftCell="A3" zoomScaleNormal="100" workbookViewId="0">
      <selection activeCell="B13" sqref="B13"/>
    </sheetView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115" t="s">
        <v>116</v>
      </c>
      <c r="C3" s="115"/>
      <c r="D3" s="115"/>
      <c r="E3" s="115"/>
      <c r="F3" s="115"/>
      <c r="G3" s="115"/>
      <c r="H3" s="1"/>
    </row>
    <row r="4" spans="1:8" ht="15" customHeight="1" x14ac:dyDescent="0.25">
      <c r="A4" s="1"/>
      <c r="B4" s="115"/>
      <c r="C4" s="115"/>
      <c r="D4" s="115"/>
      <c r="E4" s="115"/>
      <c r="F4" s="115"/>
      <c r="G4" s="115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26" t="s">
        <v>145</v>
      </c>
      <c r="C8" s="27"/>
      <c r="D8" s="27"/>
      <c r="E8" s="27"/>
      <c r="F8" s="27"/>
      <c r="G8" s="28"/>
      <c r="H8" s="1"/>
    </row>
    <row r="9" spans="1:8" ht="15" customHeight="1" x14ac:dyDescent="0.25">
      <c r="A9" s="1"/>
      <c r="B9" s="18" t="s">
        <v>33</v>
      </c>
      <c r="C9" s="24"/>
      <c r="D9" s="18" t="s">
        <v>21</v>
      </c>
      <c r="E9" s="24"/>
      <c r="F9" s="18" t="s">
        <v>106</v>
      </c>
      <c r="G9" s="24"/>
      <c r="H9" s="1"/>
    </row>
    <row r="10" spans="1:8" ht="26.25" x14ac:dyDescent="0.25">
      <c r="A10" s="1"/>
      <c r="B10" s="65" t="s">
        <v>122</v>
      </c>
      <c r="C10" s="35"/>
      <c r="D10" s="36">
        <f>'Fane 8. Anlægsprojekter'!F14</f>
        <v>0</v>
      </c>
      <c r="E10" s="17" t="s">
        <v>2</v>
      </c>
      <c r="F10" s="11">
        <f>SUM('Fane 8. Anlægsprojekter'!E14,'Fane 8. Anlægsprojekter'!G14)</f>
        <v>275903.32999999996</v>
      </c>
      <c r="G10" s="17" t="s">
        <v>2</v>
      </c>
      <c r="H10" s="1"/>
    </row>
    <row r="11" spans="1:8" x14ac:dyDescent="0.25">
      <c r="A11" s="1"/>
      <c r="B11" s="26" t="s">
        <v>65</v>
      </c>
      <c r="C11" s="28"/>
      <c r="D11" s="15">
        <f>SUM(D10:D10)</f>
        <v>0</v>
      </c>
      <c r="E11" s="16" t="s">
        <v>2</v>
      </c>
      <c r="F11" s="15">
        <f>SUM(F10:F10)</f>
        <v>275903.32999999996</v>
      </c>
      <c r="G11" s="16" t="s">
        <v>2</v>
      </c>
      <c r="H11" s="1"/>
    </row>
    <row r="12" spans="1:8" x14ac:dyDescent="0.25">
      <c r="A12" s="1"/>
      <c r="B12" s="26" t="s">
        <v>66</v>
      </c>
      <c r="C12" s="28"/>
      <c r="D12" s="15">
        <f>D11*(1+Prisudvikling2019)</f>
        <v>0</v>
      </c>
      <c r="E12" s="16" t="s">
        <v>2</v>
      </c>
      <c r="F12" s="15">
        <f>F11*(1+Prisudvikling2019)</f>
        <v>280566.09627699992</v>
      </c>
      <c r="G12" s="16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26" t="s">
        <v>146</v>
      </c>
      <c r="C14" s="27"/>
      <c r="D14" s="27"/>
      <c r="E14" s="27"/>
      <c r="F14" s="27"/>
      <c r="G14" s="28"/>
      <c r="H14" s="1"/>
    </row>
    <row r="15" spans="1:8" ht="26.25" x14ac:dyDescent="0.25">
      <c r="A15" s="1"/>
      <c r="B15" s="18" t="s">
        <v>33</v>
      </c>
      <c r="C15" s="24"/>
      <c r="D15" s="18" t="s">
        <v>21</v>
      </c>
      <c r="E15" s="24"/>
      <c r="F15" s="18" t="s">
        <v>106</v>
      </c>
      <c r="G15" s="24"/>
      <c r="H15" s="1"/>
    </row>
    <row r="16" spans="1:8" ht="26.25" x14ac:dyDescent="0.25">
      <c r="A16" s="1"/>
      <c r="B16" s="65" t="s">
        <v>122</v>
      </c>
      <c r="C16" s="35"/>
      <c r="D16" s="36">
        <f>+'Fane 8. Anlægsprojekter'!F19</f>
        <v>0</v>
      </c>
      <c r="E16" s="17" t="s">
        <v>2</v>
      </c>
      <c r="F16" s="11">
        <f>+SUM('Fane 8. Anlægsprojekter'!E19,'Fane 8. Anlægsprojekter'!G19)</f>
        <v>0</v>
      </c>
      <c r="G16" s="17" t="s">
        <v>2</v>
      </c>
      <c r="H16" s="1"/>
    </row>
    <row r="17" spans="1:8" x14ac:dyDescent="0.25">
      <c r="A17" s="1"/>
      <c r="B17" s="26" t="s">
        <v>65</v>
      </c>
      <c r="C17" s="28"/>
      <c r="D17" s="15">
        <f>SUM(D16:D16)</f>
        <v>0</v>
      </c>
      <c r="E17" s="16" t="s">
        <v>2</v>
      </c>
      <c r="F17" s="15">
        <f>SUM(F16:F16)</f>
        <v>0</v>
      </c>
      <c r="G17" s="16" t="s">
        <v>2</v>
      </c>
      <c r="H17" s="1"/>
    </row>
    <row r="18" spans="1:8" x14ac:dyDescent="0.25">
      <c r="A18" s="1"/>
      <c r="B18" s="26" t="s">
        <v>66</v>
      </c>
      <c r="C18" s="28"/>
      <c r="D18" s="15">
        <f>D17*(1+Prisudvikling2019)</f>
        <v>0</v>
      </c>
      <c r="E18" s="16" t="s">
        <v>2</v>
      </c>
      <c r="F18" s="15">
        <f>F17*(1+Prisudvikling2019)</f>
        <v>0</v>
      </c>
      <c r="G18" s="16" t="s">
        <v>2</v>
      </c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algorithmName="SHA-512" hashValue="0ZH/q644STkK65xLnLSsuIEpq/7GmghoEpWXO/l5upbzT7PbLQEGOtSzw56ZX/lgmCDg9f15PgMikBy/Lu6y6Q==" saltValue="jAmozfHCL/GOsE03tAPfDw==" spinCount="100000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>
      <selection activeCell="B3" sqref="B3:G4"/>
    </sheetView>
  </sheetViews>
  <sheetFormatPr defaultColWidth="9.140625" defaultRowHeight="15" x14ac:dyDescent="0.25"/>
  <cols>
    <col min="1" max="1" width="5.140625" style="44" customWidth="1"/>
    <col min="2" max="2" width="36.42578125" style="44" customWidth="1"/>
    <col min="3" max="3" width="5.42578125" style="44" hidden="1" customWidth="1"/>
    <col min="4" max="4" width="16.5703125" style="44" customWidth="1"/>
    <col min="5" max="5" width="3.28515625" style="44" customWidth="1"/>
    <col min="6" max="6" width="17.28515625" style="44" customWidth="1"/>
    <col min="7" max="7" width="3.28515625" style="44" customWidth="1"/>
    <col min="8" max="8" width="5.140625" style="44" customWidth="1"/>
    <col min="9" max="16384" width="9.140625" style="44"/>
  </cols>
  <sheetData>
    <row r="1" spans="1:8" x14ac:dyDescent="0.25">
      <c r="A1" s="43"/>
      <c r="B1" s="43"/>
      <c r="C1" s="43"/>
      <c r="D1" s="43"/>
      <c r="E1" s="43"/>
      <c r="F1" s="43"/>
      <c r="G1" s="43"/>
      <c r="H1" s="43"/>
    </row>
    <row r="2" spans="1:8" x14ac:dyDescent="0.25">
      <c r="A2" s="43"/>
      <c r="B2" s="43"/>
      <c r="C2" s="43"/>
      <c r="D2" s="43"/>
      <c r="E2" s="43"/>
      <c r="F2" s="43"/>
      <c r="G2" s="43"/>
      <c r="H2" s="43"/>
    </row>
    <row r="3" spans="1:8" ht="15" customHeight="1" x14ac:dyDescent="0.25">
      <c r="A3" s="43"/>
      <c r="B3" s="111" t="s">
        <v>139</v>
      </c>
      <c r="C3" s="111"/>
      <c r="D3" s="111"/>
      <c r="E3" s="111"/>
      <c r="F3" s="111"/>
      <c r="G3" s="111"/>
      <c r="H3" s="43"/>
    </row>
    <row r="4" spans="1:8" ht="25.5" customHeight="1" x14ac:dyDescent="0.25">
      <c r="A4" s="43"/>
      <c r="B4" s="111"/>
      <c r="C4" s="111"/>
      <c r="D4" s="111"/>
      <c r="E4" s="111"/>
      <c r="F4" s="111"/>
      <c r="G4" s="111"/>
      <c r="H4" s="43"/>
    </row>
    <row r="5" spans="1:8" x14ac:dyDescent="0.25">
      <c r="A5" s="43"/>
      <c r="B5" s="43"/>
      <c r="C5" s="43"/>
      <c r="D5" s="43"/>
      <c r="E5" s="43"/>
      <c r="F5" s="43"/>
      <c r="G5" s="43"/>
      <c r="H5" s="43"/>
    </row>
    <row r="6" spans="1:8" x14ac:dyDescent="0.25">
      <c r="A6" s="43"/>
      <c r="B6" s="43"/>
      <c r="C6" s="43"/>
      <c r="D6" s="43"/>
      <c r="E6" s="43"/>
      <c r="F6" s="43"/>
      <c r="G6" s="43"/>
      <c r="H6" s="43"/>
    </row>
    <row r="7" spans="1:8" x14ac:dyDescent="0.25">
      <c r="A7" s="43"/>
      <c r="B7" s="43"/>
      <c r="C7" s="43"/>
      <c r="D7" s="43"/>
      <c r="E7" s="43"/>
      <c r="F7" s="43"/>
      <c r="G7" s="43"/>
      <c r="H7" s="43"/>
    </row>
    <row r="8" spans="1:8" x14ac:dyDescent="0.25">
      <c r="A8" s="43"/>
      <c r="B8" s="90" t="s">
        <v>160</v>
      </c>
      <c r="C8" s="91"/>
      <c r="D8" s="91"/>
      <c r="E8" s="91"/>
      <c r="F8" s="91"/>
      <c r="G8" s="92"/>
      <c r="H8" s="43"/>
    </row>
    <row r="9" spans="1:8" ht="15" customHeight="1" x14ac:dyDescent="0.25">
      <c r="A9" s="43"/>
      <c r="B9" s="18" t="s">
        <v>34</v>
      </c>
      <c r="C9" s="19"/>
      <c r="D9" s="18" t="s">
        <v>21</v>
      </c>
      <c r="E9" s="24"/>
      <c r="F9" s="18" t="s">
        <v>106</v>
      </c>
      <c r="G9" s="24"/>
      <c r="H9" s="43"/>
    </row>
    <row r="10" spans="1:8" x14ac:dyDescent="0.25">
      <c r="A10" s="43"/>
      <c r="B10" s="65" t="s">
        <v>129</v>
      </c>
      <c r="C10" s="66"/>
      <c r="D10" s="7">
        <v>0</v>
      </c>
      <c r="E10" s="8" t="s">
        <v>2</v>
      </c>
      <c r="F10" s="7">
        <v>0</v>
      </c>
      <c r="G10" s="8" t="s">
        <v>2</v>
      </c>
      <c r="H10" s="43"/>
    </row>
    <row r="11" spans="1:8" ht="26.25" x14ac:dyDescent="0.25">
      <c r="A11" s="43"/>
      <c r="B11" s="46" t="s">
        <v>67</v>
      </c>
      <c r="C11" s="47"/>
      <c r="D11" s="22">
        <f>SUM(D10:D10)</f>
        <v>0</v>
      </c>
      <c r="E11" s="23" t="s">
        <v>2</v>
      </c>
      <c r="F11" s="22">
        <f>SUM(F10:F10)</f>
        <v>0</v>
      </c>
      <c r="G11" s="23" t="s">
        <v>2</v>
      </c>
      <c r="H11" s="43"/>
    </row>
    <row r="12" spans="1:8" ht="26.25" x14ac:dyDescent="0.25">
      <c r="A12" s="43"/>
      <c r="B12" s="46" t="s">
        <v>68</v>
      </c>
      <c r="C12" s="47"/>
      <c r="D12" s="22">
        <f>D11*(1+Prisudvikling2019)</f>
        <v>0</v>
      </c>
      <c r="E12" s="23" t="s">
        <v>2</v>
      </c>
      <c r="F12" s="22">
        <f>F11*(1+Prisudvikling2019)</f>
        <v>0</v>
      </c>
      <c r="G12" s="23" t="s">
        <v>2</v>
      </c>
      <c r="H12" s="43"/>
    </row>
    <row r="13" spans="1:8" x14ac:dyDescent="0.25">
      <c r="A13" s="43"/>
      <c r="B13" s="43"/>
      <c r="C13" s="43"/>
      <c r="D13" s="43"/>
      <c r="E13" s="43"/>
      <c r="F13" s="43"/>
      <c r="G13" s="43"/>
      <c r="H13" s="43"/>
    </row>
    <row r="14" spans="1:8" x14ac:dyDescent="0.25">
      <c r="A14" s="43"/>
      <c r="B14" s="90" t="s">
        <v>161</v>
      </c>
      <c r="C14" s="91"/>
      <c r="D14" s="91"/>
      <c r="E14" s="91"/>
      <c r="F14" s="91"/>
      <c r="G14" s="92"/>
      <c r="H14" s="43"/>
    </row>
    <row r="15" spans="1:8" ht="26.25" x14ac:dyDescent="0.25">
      <c r="A15" s="43"/>
      <c r="B15" s="18" t="s">
        <v>34</v>
      </c>
      <c r="C15" s="19"/>
      <c r="D15" s="18" t="s">
        <v>21</v>
      </c>
      <c r="E15" s="24"/>
      <c r="F15" s="18" t="s">
        <v>106</v>
      </c>
      <c r="G15" s="24"/>
      <c r="H15" s="43"/>
    </row>
    <row r="16" spans="1:8" x14ac:dyDescent="0.25">
      <c r="A16" s="43"/>
      <c r="B16" s="65" t="s">
        <v>129</v>
      </c>
      <c r="C16" s="66"/>
      <c r="D16" s="7">
        <v>0</v>
      </c>
      <c r="E16" s="8" t="s">
        <v>2</v>
      </c>
      <c r="F16" s="7">
        <v>0</v>
      </c>
      <c r="G16" s="8" t="s">
        <v>2</v>
      </c>
      <c r="H16" s="43"/>
    </row>
    <row r="17" spans="1:8" ht="26.25" x14ac:dyDescent="0.25">
      <c r="A17" s="43"/>
      <c r="B17" s="46" t="s">
        <v>67</v>
      </c>
      <c r="C17" s="47"/>
      <c r="D17" s="22">
        <f>SUM(D16:D16)</f>
        <v>0</v>
      </c>
      <c r="E17" s="23" t="s">
        <v>2</v>
      </c>
      <c r="F17" s="22">
        <f>SUM(F16:F16)</f>
        <v>0</v>
      </c>
      <c r="G17" s="23" t="s">
        <v>2</v>
      </c>
      <c r="H17" s="43"/>
    </row>
    <row r="18" spans="1:8" ht="26.25" x14ac:dyDescent="0.25">
      <c r="A18" s="43"/>
      <c r="B18" s="46" t="s">
        <v>68</v>
      </c>
      <c r="C18" s="47"/>
      <c r="D18" s="22">
        <f>D17*(1+Prisudvikling2019)</f>
        <v>0</v>
      </c>
      <c r="E18" s="23" t="s">
        <v>2</v>
      </c>
      <c r="F18" s="22">
        <f>F17*(1+Prisudvikling2019)</f>
        <v>0</v>
      </c>
      <c r="G18" s="23" t="s">
        <v>2</v>
      </c>
      <c r="H18" s="43"/>
    </row>
    <row r="19" spans="1:8" x14ac:dyDescent="0.25">
      <c r="A19" s="43"/>
      <c r="B19" s="43"/>
      <c r="C19" s="43"/>
      <c r="D19" s="43"/>
      <c r="E19" s="43"/>
      <c r="F19" s="43"/>
      <c r="G19" s="43"/>
      <c r="H19" s="43"/>
    </row>
    <row r="20" spans="1:8" x14ac:dyDescent="0.25">
      <c r="A20" s="43"/>
      <c r="B20" s="43"/>
      <c r="C20" s="43"/>
      <c r="D20" s="43"/>
      <c r="E20" s="43"/>
      <c r="F20" s="43"/>
      <c r="G20" s="43"/>
      <c r="H20" s="43"/>
    </row>
    <row r="21" spans="1:8" x14ac:dyDescent="0.25">
      <c r="A21" s="43"/>
      <c r="B21" s="43"/>
      <c r="C21" s="43"/>
      <c r="D21" s="43"/>
      <c r="E21" s="43"/>
      <c r="F21" s="43"/>
      <c r="G21" s="43"/>
      <c r="H21" s="43"/>
    </row>
    <row r="22" spans="1:8" x14ac:dyDescent="0.25">
      <c r="A22" s="43"/>
      <c r="B22" s="43"/>
      <c r="C22" s="43"/>
      <c r="D22" s="43"/>
      <c r="E22" s="43"/>
      <c r="F22" s="43"/>
      <c r="G22" s="43"/>
      <c r="H22" s="43"/>
    </row>
    <row r="23" spans="1:8" x14ac:dyDescent="0.25">
      <c r="A23" s="43"/>
      <c r="B23" s="43"/>
      <c r="C23" s="43"/>
      <c r="D23" s="43"/>
      <c r="E23" s="43"/>
      <c r="F23" s="43"/>
      <c r="G23" s="43"/>
      <c r="H23" s="43"/>
    </row>
    <row r="24" spans="1:8" x14ac:dyDescent="0.25">
      <c r="A24" s="43"/>
      <c r="B24" s="43"/>
      <c r="C24" s="43"/>
      <c r="D24" s="43"/>
      <c r="E24" s="43"/>
      <c r="F24" s="43"/>
      <c r="G24" s="43"/>
      <c r="H24" s="43"/>
    </row>
    <row r="25" spans="1:8" x14ac:dyDescent="0.25">
      <c r="A25" s="43"/>
      <c r="B25" s="43"/>
      <c r="C25" s="43"/>
      <c r="D25" s="43"/>
      <c r="E25" s="43"/>
      <c r="F25" s="43"/>
      <c r="G25" s="43"/>
      <c r="H25" s="43"/>
    </row>
    <row r="26" spans="1:8" x14ac:dyDescent="0.25">
      <c r="A26" s="43"/>
      <c r="B26" s="43"/>
      <c r="C26" s="43"/>
      <c r="D26" s="43"/>
      <c r="E26" s="43"/>
      <c r="F26" s="43"/>
      <c r="G26" s="43"/>
      <c r="H26" s="43"/>
    </row>
    <row r="27" spans="1:8" x14ac:dyDescent="0.25">
      <c r="A27" s="43"/>
      <c r="B27" s="43"/>
      <c r="C27" s="43"/>
      <c r="D27" s="43"/>
      <c r="E27" s="43"/>
      <c r="F27" s="43"/>
      <c r="G27" s="43"/>
      <c r="H27" s="43"/>
    </row>
    <row r="28" spans="1:8" x14ac:dyDescent="0.25">
      <c r="A28" s="43"/>
      <c r="B28" s="43"/>
      <c r="C28" s="43"/>
      <c r="D28" s="43"/>
      <c r="E28" s="43"/>
      <c r="F28" s="43"/>
      <c r="G28" s="43"/>
      <c r="H28" s="43"/>
    </row>
    <row r="29" spans="1:8" x14ac:dyDescent="0.25">
      <c r="A29" s="43"/>
      <c r="B29" s="43"/>
      <c r="C29" s="43"/>
      <c r="D29" s="43"/>
      <c r="E29" s="43"/>
      <c r="F29" s="43"/>
      <c r="G29" s="43"/>
      <c r="H29" s="43"/>
    </row>
    <row r="30" spans="1:8" x14ac:dyDescent="0.25">
      <c r="A30" s="43"/>
      <c r="B30" s="43"/>
      <c r="C30" s="43"/>
      <c r="D30" s="43"/>
      <c r="E30" s="43"/>
      <c r="F30" s="43"/>
      <c r="G30" s="43"/>
      <c r="H30" s="43"/>
    </row>
    <row r="31" spans="1:8" x14ac:dyDescent="0.25">
      <c r="A31" s="43"/>
      <c r="B31" s="43"/>
      <c r="C31" s="43"/>
      <c r="D31" s="43"/>
      <c r="E31" s="43"/>
      <c r="F31" s="43"/>
      <c r="G31" s="43"/>
      <c r="H31" s="43"/>
    </row>
    <row r="32" spans="1:8" x14ac:dyDescent="0.25">
      <c r="A32" s="43"/>
      <c r="B32" s="43"/>
      <c r="C32" s="43"/>
      <c r="D32" s="43"/>
      <c r="E32" s="43"/>
      <c r="F32" s="43"/>
      <c r="G32" s="43"/>
      <c r="H32" s="43"/>
    </row>
    <row r="33" spans="1:8" x14ac:dyDescent="0.25">
      <c r="A33" s="43"/>
      <c r="B33" s="43"/>
      <c r="C33" s="43"/>
      <c r="D33" s="43"/>
      <c r="E33" s="43"/>
      <c r="F33" s="43"/>
      <c r="G33" s="43"/>
      <c r="H33" s="43"/>
    </row>
    <row r="34" spans="1:8" x14ac:dyDescent="0.25">
      <c r="A34" s="43"/>
      <c r="B34" s="43"/>
      <c r="C34" s="43"/>
      <c r="D34" s="43"/>
      <c r="E34" s="43"/>
      <c r="F34" s="43"/>
      <c r="G34" s="43"/>
      <c r="H34" s="43"/>
    </row>
    <row r="35" spans="1:8" x14ac:dyDescent="0.25">
      <c r="A35" s="43"/>
      <c r="B35" s="43"/>
      <c r="C35" s="43"/>
      <c r="D35" s="43"/>
      <c r="E35" s="43"/>
      <c r="F35" s="43"/>
      <c r="G35" s="43"/>
      <c r="H35" s="43"/>
    </row>
    <row r="36" spans="1:8" x14ac:dyDescent="0.25">
      <c r="A36" s="43"/>
      <c r="B36" s="43"/>
      <c r="C36" s="43"/>
      <c r="D36" s="43"/>
      <c r="E36" s="43"/>
      <c r="F36" s="43"/>
      <c r="G36" s="43"/>
      <c r="H36" s="43"/>
    </row>
    <row r="37" spans="1:8" x14ac:dyDescent="0.25">
      <c r="A37" s="43"/>
      <c r="B37" s="43"/>
      <c r="C37" s="43"/>
      <c r="D37" s="43"/>
      <c r="E37" s="43"/>
      <c r="F37" s="43"/>
      <c r="G37" s="43"/>
      <c r="H37" s="43"/>
    </row>
    <row r="38" spans="1:8" x14ac:dyDescent="0.25">
      <c r="A38" s="43"/>
      <c r="B38" s="43"/>
      <c r="C38" s="43"/>
      <c r="D38" s="43"/>
      <c r="E38" s="43"/>
      <c r="F38" s="43"/>
      <c r="G38" s="43"/>
      <c r="H38" s="43"/>
    </row>
    <row r="39" spans="1:8" x14ac:dyDescent="0.25">
      <c r="A39" s="43"/>
      <c r="B39" s="43"/>
      <c r="C39" s="43"/>
      <c r="D39" s="43"/>
      <c r="E39" s="43"/>
      <c r="F39" s="43"/>
      <c r="G39" s="43"/>
      <c r="H39" s="43"/>
    </row>
    <row r="40" spans="1:8" x14ac:dyDescent="0.25">
      <c r="A40" s="43"/>
      <c r="B40" s="43"/>
      <c r="C40" s="43"/>
      <c r="D40" s="43"/>
      <c r="E40" s="43"/>
      <c r="F40" s="43"/>
      <c r="G40" s="43"/>
      <c r="H40" s="43"/>
    </row>
    <row r="41" spans="1:8" x14ac:dyDescent="0.25">
      <c r="A41" s="43"/>
      <c r="B41" s="43"/>
      <c r="C41" s="43"/>
      <c r="D41" s="43"/>
      <c r="E41" s="43"/>
      <c r="F41" s="43"/>
      <c r="G41" s="43"/>
      <c r="H41" s="43"/>
    </row>
    <row r="42" spans="1:8" x14ac:dyDescent="0.25">
      <c r="A42" s="43"/>
      <c r="B42" s="43"/>
      <c r="C42" s="43"/>
      <c r="D42" s="43"/>
      <c r="E42" s="43"/>
      <c r="F42" s="43"/>
      <c r="G42" s="43"/>
      <c r="H42" s="43"/>
    </row>
    <row r="43" spans="1:8" x14ac:dyDescent="0.25">
      <c r="A43" s="43"/>
      <c r="B43" s="43"/>
      <c r="C43" s="43"/>
      <c r="D43" s="43"/>
      <c r="E43" s="43"/>
      <c r="F43" s="43"/>
      <c r="G43" s="43"/>
      <c r="H43" s="43"/>
    </row>
    <row r="44" spans="1:8" x14ac:dyDescent="0.25">
      <c r="A44" s="43"/>
      <c r="B44" s="43"/>
      <c r="C44" s="43"/>
      <c r="D44" s="43"/>
      <c r="E44" s="43"/>
      <c r="F44" s="43"/>
      <c r="G44" s="43"/>
      <c r="H44" s="43"/>
    </row>
    <row r="45" spans="1:8" x14ac:dyDescent="0.25">
      <c r="A45" s="43"/>
      <c r="B45" s="43"/>
      <c r="C45" s="43"/>
      <c r="D45" s="43"/>
      <c r="E45" s="43"/>
      <c r="F45" s="43"/>
      <c r="G45" s="43"/>
      <c r="H45" s="43"/>
    </row>
    <row r="46" spans="1:8" x14ac:dyDescent="0.25">
      <c r="A46" s="43"/>
      <c r="B46" s="43"/>
      <c r="C46" s="43"/>
      <c r="D46" s="43"/>
      <c r="E46" s="43"/>
      <c r="F46" s="43"/>
      <c r="G46" s="43"/>
      <c r="H46" s="43"/>
    </row>
    <row r="47" spans="1:8" x14ac:dyDescent="0.25">
      <c r="A47" s="43"/>
      <c r="B47" s="43"/>
      <c r="C47" s="43"/>
      <c r="D47" s="43"/>
      <c r="E47" s="43"/>
      <c r="F47" s="43"/>
      <c r="G47" s="43"/>
      <c r="H47" s="43"/>
    </row>
  </sheetData>
  <sheetProtection algorithmName="SHA-512" hashValue="BAZ+P8vq0XLTZPfqCl7cg8NNC/vvyFeiLYONvKOA95nDukd/WTZI/Q5kwNpgdkoY2oIgzTcdGyyr/M8cfAS1bA==" saltValue="Q1vTckVHSjXihrxh7p6LfQ==" spinCount="100000" sheet="1" objects="1" scenarios="1"/>
  <mergeCells count="3">
    <mergeCell ref="B3:G4"/>
    <mergeCell ref="B8:G8"/>
    <mergeCell ref="B14:G1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50"/>
  <sheetViews>
    <sheetView showGridLines="0" view="pageLayout" topLeftCell="A3" zoomScaleNormal="100" workbookViewId="0">
      <selection activeCell="B18" sqref="B18"/>
    </sheetView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140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26" t="s">
        <v>27</v>
      </c>
      <c r="C8" s="27"/>
      <c r="D8" s="27"/>
      <c r="E8" s="27"/>
      <c r="F8" s="28"/>
      <c r="G8" s="28"/>
      <c r="H8" s="1"/>
    </row>
    <row r="9" spans="1:8" x14ac:dyDescent="0.25">
      <c r="A9" s="1"/>
      <c r="B9" s="29" t="s">
        <v>41</v>
      </c>
      <c r="C9" s="30"/>
      <c r="D9" s="30"/>
      <c r="E9" s="31"/>
      <c r="F9" s="37">
        <v>1.7500000000000002E-2</v>
      </c>
      <c r="G9" s="38"/>
      <c r="H9" s="1"/>
    </row>
    <row r="10" spans="1:8" x14ac:dyDescent="0.25">
      <c r="A10" s="1"/>
      <c r="B10" s="29" t="s">
        <v>42</v>
      </c>
      <c r="C10" s="30"/>
      <c r="D10" s="30"/>
      <c r="E10" s="31"/>
      <c r="F10" s="37">
        <v>1.6899999999999998E-2</v>
      </c>
      <c r="G10" s="38"/>
      <c r="H10" s="1"/>
    </row>
    <row r="11" spans="1:8" x14ac:dyDescent="0.25">
      <c r="A11" s="1"/>
      <c r="B11" s="26"/>
      <c r="C11" s="27"/>
      <c r="D11" s="27"/>
      <c r="E11" s="27"/>
      <c r="F11" s="28"/>
      <c r="G11" s="28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26" t="s">
        <v>105</v>
      </c>
      <c r="C13" s="27"/>
      <c r="D13" s="27"/>
      <c r="E13" s="27"/>
      <c r="F13" s="28"/>
      <c r="G13" s="28"/>
      <c r="H13" s="1"/>
    </row>
    <row r="14" spans="1:8" x14ac:dyDescent="0.25">
      <c r="A14" s="1"/>
      <c r="B14" s="29" t="s">
        <v>162</v>
      </c>
      <c r="C14" s="30"/>
      <c r="D14" s="30"/>
      <c r="E14" s="31"/>
      <c r="F14" s="37">
        <v>0</v>
      </c>
      <c r="G14" s="38"/>
      <c r="H14" s="1"/>
    </row>
    <row r="15" spans="1:8" x14ac:dyDescent="0.25">
      <c r="A15" s="1"/>
      <c r="B15" s="29" t="s">
        <v>163</v>
      </c>
      <c r="C15" s="30"/>
      <c r="D15" s="30"/>
      <c r="E15" s="31"/>
      <c r="F15" s="37">
        <v>0</v>
      </c>
      <c r="G15" s="38"/>
      <c r="H15" s="1"/>
    </row>
    <row r="16" spans="1:8" x14ac:dyDescent="0.25">
      <c r="A16" s="1"/>
      <c r="B16" s="26"/>
      <c r="C16" s="27"/>
      <c r="D16" s="27"/>
      <c r="E16" s="27"/>
      <c r="F16" s="28"/>
      <c r="G16" s="28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algorithmName="SHA-512" hashValue="N6XXxPd+ymC/PCLLKG6O0joczuL3O+HatODS5njc6rHTOzCjURj4+CVZzemSndH5+869cTJbR7B0Y6VdXt9A5Q==" saltValue="Hq0EbryyzzBIHTjzOlrRiw==" spinCount="100000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42"/>
  <sheetViews>
    <sheetView showGridLines="0" view="pageLayout" topLeftCell="A7" zoomScaleNormal="100" workbookViewId="0">
      <selection activeCell="G34" sqref="G34"/>
    </sheetView>
  </sheetViews>
  <sheetFormatPr defaultColWidth="9.140625" defaultRowHeight="15" x14ac:dyDescent="0.25"/>
  <cols>
    <col min="1" max="1" width="2.7109375" style="44" customWidth="1"/>
    <col min="2" max="2" width="32" style="44" customWidth="1"/>
    <col min="3" max="3" width="18.42578125" style="44" customWidth="1"/>
    <col min="4" max="4" width="3.85546875" style="44" customWidth="1"/>
    <col min="5" max="5" width="13.5703125" style="44" customWidth="1"/>
    <col min="6" max="6" width="4.140625" style="44" customWidth="1"/>
    <col min="7" max="7" width="10.7109375" style="44" customWidth="1"/>
    <col min="8" max="8" width="3.28515625" style="44" customWidth="1"/>
    <col min="9" max="9" width="2.7109375" style="44" customWidth="1"/>
    <col min="10" max="10" width="9.140625" style="44"/>
    <col min="11" max="11" width="10.140625" style="44" bestFit="1" customWidth="1"/>
    <col min="12" max="16384" width="9.140625" style="44"/>
  </cols>
  <sheetData>
    <row r="1" spans="1:11" x14ac:dyDescent="0.25">
      <c r="A1" s="43"/>
      <c r="B1" s="43"/>
      <c r="C1" s="43"/>
      <c r="D1" s="43"/>
      <c r="E1" s="43"/>
      <c r="F1" s="43"/>
      <c r="G1" s="43"/>
      <c r="H1" s="43"/>
      <c r="I1" s="43"/>
    </row>
    <row r="2" spans="1:11" x14ac:dyDescent="0.25">
      <c r="A2" s="43"/>
      <c r="B2" s="43"/>
      <c r="C2" s="43"/>
      <c r="D2" s="43"/>
      <c r="E2" s="43"/>
      <c r="F2" s="43"/>
      <c r="G2" s="43"/>
      <c r="H2" s="43"/>
      <c r="I2" s="43"/>
    </row>
    <row r="3" spans="1:11" x14ac:dyDescent="0.25">
      <c r="A3" s="43"/>
      <c r="B3" s="88" t="s">
        <v>38</v>
      </c>
      <c r="C3" s="88"/>
      <c r="D3" s="88"/>
      <c r="E3" s="88"/>
      <c r="F3" s="88"/>
      <c r="G3" s="88"/>
      <c r="H3" s="88"/>
      <c r="I3" s="43"/>
      <c r="K3" s="45"/>
    </row>
    <row r="4" spans="1:11" x14ac:dyDescent="0.25">
      <c r="A4" s="43"/>
      <c r="B4" s="88"/>
      <c r="C4" s="88"/>
      <c r="D4" s="88"/>
      <c r="E4" s="88"/>
      <c r="F4" s="88"/>
      <c r="G4" s="88"/>
      <c r="H4" s="88"/>
      <c r="I4" s="43"/>
    </row>
    <row r="5" spans="1:11" x14ac:dyDescent="0.25">
      <c r="A5" s="43"/>
      <c r="B5" s="43"/>
      <c r="C5" s="43"/>
      <c r="D5" s="43"/>
      <c r="E5" s="43"/>
      <c r="F5" s="43"/>
      <c r="G5" s="43"/>
      <c r="H5" s="43"/>
      <c r="I5" s="43"/>
    </row>
    <row r="6" spans="1:11" x14ac:dyDescent="0.25">
      <c r="A6" s="43"/>
      <c r="B6" s="43"/>
      <c r="C6" s="43"/>
      <c r="D6" s="43"/>
      <c r="E6" s="43"/>
      <c r="F6" s="43"/>
      <c r="G6" s="43"/>
      <c r="H6" s="43"/>
      <c r="I6" s="43"/>
    </row>
    <row r="7" spans="1:11" x14ac:dyDescent="0.25">
      <c r="A7" s="43"/>
      <c r="B7" s="43"/>
      <c r="C7" s="43"/>
      <c r="D7" s="43"/>
      <c r="E7" s="43"/>
      <c r="F7" s="43"/>
      <c r="G7" s="43"/>
      <c r="H7" s="43"/>
      <c r="I7" s="43"/>
    </row>
    <row r="8" spans="1:11" ht="26.25" x14ac:dyDescent="0.25">
      <c r="A8" s="43"/>
      <c r="B8" s="46" t="s">
        <v>25</v>
      </c>
      <c r="C8" s="46" t="s">
        <v>149</v>
      </c>
      <c r="D8" s="47"/>
      <c r="E8" s="46" t="s">
        <v>150</v>
      </c>
      <c r="F8" s="47"/>
      <c r="G8" s="48" t="s">
        <v>141</v>
      </c>
      <c r="H8" s="47"/>
      <c r="I8" s="43"/>
    </row>
    <row r="9" spans="1:11" ht="26.25" x14ac:dyDescent="0.25">
      <c r="A9" s="43"/>
      <c r="B9" s="32" t="s">
        <v>46</v>
      </c>
      <c r="C9" s="7">
        <f>'Fane 3. Omkostninger i ØR2018'!H13</f>
        <v>66689214.537726358</v>
      </c>
      <c r="D9" s="8" t="s">
        <v>2</v>
      </c>
      <c r="E9" s="7">
        <f>+'Fane 3. Omkostninger i ØR2018'!J13</f>
        <v>23238613.902293645</v>
      </c>
      <c r="F9" s="8" t="s">
        <v>2</v>
      </c>
      <c r="G9" s="9"/>
      <c r="H9" s="10"/>
      <c r="I9" s="43"/>
    </row>
    <row r="10" spans="1:11" x14ac:dyDescent="0.25">
      <c r="A10" s="43"/>
      <c r="B10" s="33" t="s">
        <v>60</v>
      </c>
      <c r="C10" s="7">
        <f>'Fane 9. Tillæg'!D12</f>
        <v>0</v>
      </c>
      <c r="D10" s="8" t="s">
        <v>2</v>
      </c>
      <c r="E10" s="7">
        <f>+'Fane 9. Tillæg'!D16</f>
        <v>0</v>
      </c>
      <c r="F10" s="8" t="s">
        <v>2</v>
      </c>
      <c r="G10" s="20"/>
      <c r="H10" s="12"/>
      <c r="I10" s="43"/>
    </row>
    <row r="11" spans="1:11" x14ac:dyDescent="0.25">
      <c r="A11" s="43"/>
      <c r="B11" s="33" t="s">
        <v>59</v>
      </c>
      <c r="C11" s="7">
        <f>'Fane 9. Tillæg'!F12</f>
        <v>280566.09627699992</v>
      </c>
      <c r="D11" s="8" t="s">
        <v>2</v>
      </c>
      <c r="E11" s="7">
        <f>+'Fane 9. Tillæg'!F16</f>
        <v>0</v>
      </c>
      <c r="F11" s="8" t="s">
        <v>2</v>
      </c>
      <c r="G11" s="49"/>
      <c r="H11" s="12"/>
      <c r="I11" s="43"/>
    </row>
    <row r="12" spans="1:11" ht="26.25" x14ac:dyDescent="0.25">
      <c r="A12" s="43"/>
      <c r="B12" s="33" t="s">
        <v>62</v>
      </c>
      <c r="C12" s="7">
        <f>-'Fane 10. Bortfald'!D12</f>
        <v>0</v>
      </c>
      <c r="D12" s="8" t="s">
        <v>2</v>
      </c>
      <c r="E12" s="7">
        <f>+'Fane 10. Bortfald'!D16</f>
        <v>0</v>
      </c>
      <c r="F12" s="8" t="s">
        <v>2</v>
      </c>
      <c r="G12" s="49"/>
      <c r="H12" s="12"/>
      <c r="I12" s="43"/>
    </row>
    <row r="13" spans="1:11" ht="26.25" x14ac:dyDescent="0.25">
      <c r="A13" s="43"/>
      <c r="B13" s="33" t="s">
        <v>61</v>
      </c>
      <c r="C13" s="7">
        <f>-'Fane 10. Bortfald'!F12</f>
        <v>0</v>
      </c>
      <c r="D13" s="8" t="s">
        <v>2</v>
      </c>
      <c r="E13" s="7">
        <f>+'Fane 10. Bortfald'!F16</f>
        <v>0</v>
      </c>
      <c r="F13" s="8" t="s">
        <v>2</v>
      </c>
      <c r="G13" s="49"/>
      <c r="H13" s="12"/>
      <c r="I13" s="43"/>
    </row>
    <row r="14" spans="1:11" x14ac:dyDescent="0.25">
      <c r="A14" s="43"/>
      <c r="B14" s="33" t="s">
        <v>35</v>
      </c>
      <c r="C14" s="7">
        <f>C9*Prisudvikling2018+SUM(C10:C13)*Prisudvikling2019</f>
        <v>1171802.8214372927</v>
      </c>
      <c r="D14" s="8" t="s">
        <v>2</v>
      </c>
      <c r="E14" s="7">
        <f>E9*Prisudvikling2018+SUM(E10:E13)*Prisudvikling2019</f>
        <v>406675.74329013884</v>
      </c>
      <c r="F14" s="8" t="s">
        <v>2</v>
      </c>
      <c r="G14" s="49"/>
      <c r="H14" s="12"/>
      <c r="I14" s="43"/>
    </row>
    <row r="15" spans="1:11" x14ac:dyDescent="0.25">
      <c r="A15" s="43"/>
      <c r="B15" s="33" t="s">
        <v>13</v>
      </c>
      <c r="C15" s="7">
        <f>-SUM(C9:C14)*IndividueltKrav</f>
        <v>0</v>
      </c>
      <c r="D15" s="8" t="s">
        <v>2</v>
      </c>
      <c r="E15" s="7">
        <f>-SUM(E9:E14)*'Fane 11. Nøgletal'!F15</f>
        <v>0</v>
      </c>
      <c r="F15" s="8" t="s">
        <v>2</v>
      </c>
      <c r="G15" s="49"/>
      <c r="H15" s="12"/>
      <c r="I15" s="43"/>
    </row>
    <row r="16" spans="1:11" x14ac:dyDescent="0.25">
      <c r="A16" s="43"/>
      <c r="B16" s="33" t="s">
        <v>57</v>
      </c>
      <c r="C16" s="7">
        <f>-(('Fane 5. Generelt eff. krav'!G10-'Fane 5. Generelt eff. krav'!G9-'Fane 3. Omkostninger i ØR2018'!H12)*(1+Prisudvikling2018)*GenereltKravDrift2018+SUM(C10,C12)*(1+Prisudvikling2019)*GenereltKravDrift2019)</f>
        <v>-267754.47666121542</v>
      </c>
      <c r="D16" s="8" t="s">
        <v>2</v>
      </c>
      <c r="E16" s="7">
        <f>-(('Fane 5. Generelt eff. krav'!I10-'Fane 5. Generelt eff. krav'!I9-'Fane 3. Omkostninger i ØR2018'!J12)*(1+Prisudvikling2018)*GenereltKravDrift2018+SUM(E10,E12)*(1+Prisudvikling2019)*GenereltKravDrift2019)</f>
        <v>-332389.73942654813</v>
      </c>
      <c r="F16" s="8" t="s">
        <v>2</v>
      </c>
      <c r="G16" s="49"/>
      <c r="H16" s="12"/>
      <c r="I16" s="43"/>
    </row>
    <row r="17" spans="1:9" x14ac:dyDescent="0.25">
      <c r="A17" s="43"/>
      <c r="B17" s="33" t="s">
        <v>58</v>
      </c>
      <c r="C17" s="7">
        <f>-(('Fane 5. Generelt eff. krav'!G12-'Fane 5. Generelt eff. krav'!G11)*(1+Prisudvikling2018)*GenereltKravAnlæg2018+SUM(C11,C13)*(1+Prisudvikling2019)*GenereltKravAnlæg2019)</f>
        <v>-966575.54634638748</v>
      </c>
      <c r="D17" s="8" t="s">
        <v>2</v>
      </c>
      <c r="E17" s="7">
        <f>-(('Fane 5. Generelt eff. krav'!I12-'Fane 5. Generelt eff. krav'!I11)*(1+Prisudvikling2018)*GenereltKravAnlæg2018+SUM(E11,E13)*(1+Prisudvikling2019)*GenereltKravAnlæg2019)</f>
        <v>-124356.70733433793</v>
      </c>
      <c r="F17" s="8" t="s">
        <v>2</v>
      </c>
      <c r="G17" s="50"/>
      <c r="H17" s="13"/>
      <c r="I17" s="43"/>
    </row>
    <row r="18" spans="1:9" x14ac:dyDescent="0.25">
      <c r="A18" s="43"/>
      <c r="B18" s="18" t="s">
        <v>37</v>
      </c>
      <c r="C18" s="51">
        <f>SUM(C9:C17)</f>
        <v>66907253.432433046</v>
      </c>
      <c r="D18" s="14" t="s">
        <v>2</v>
      </c>
      <c r="E18" s="51">
        <f>SUM(E9:E17)</f>
        <v>23188543.198822893</v>
      </c>
      <c r="F18" s="14" t="s">
        <v>2</v>
      </c>
      <c r="G18" s="51">
        <f>C18+E18</f>
        <v>90095796.63125594</v>
      </c>
      <c r="H18" s="14" t="s">
        <v>2</v>
      </c>
      <c r="I18" s="43"/>
    </row>
    <row r="19" spans="1:9" x14ac:dyDescent="0.25">
      <c r="A19" s="43"/>
      <c r="B19" s="46" t="s">
        <v>70</v>
      </c>
      <c r="C19" s="48"/>
      <c r="D19" s="48"/>
      <c r="E19" s="48"/>
      <c r="F19" s="48"/>
      <c r="G19" s="48"/>
      <c r="H19" s="47"/>
      <c r="I19" s="43"/>
    </row>
    <row r="20" spans="1:9" ht="26.25" x14ac:dyDescent="0.25">
      <c r="A20" s="43"/>
      <c r="B20" s="33" t="s">
        <v>128</v>
      </c>
      <c r="C20" s="7">
        <v>0</v>
      </c>
      <c r="D20" s="8" t="s">
        <v>2</v>
      </c>
      <c r="E20" s="7">
        <v>0</v>
      </c>
      <c r="F20" s="8" t="s">
        <v>2</v>
      </c>
      <c r="G20" s="49"/>
      <c r="H20" s="12"/>
      <c r="I20" s="43"/>
    </row>
    <row r="21" spans="1:9" ht="26.25" x14ac:dyDescent="0.25">
      <c r="A21" s="43"/>
      <c r="B21" s="33" t="s">
        <v>72</v>
      </c>
      <c r="C21" s="7">
        <f>-(C20*(GenereltKravDrift2018+IndividueltKrav))</f>
        <v>0</v>
      </c>
      <c r="D21" s="8" t="s">
        <v>2</v>
      </c>
      <c r="E21" s="7">
        <f>-(E20*(GenereltKravDrift2018+IndividueltKrav))</f>
        <v>0</v>
      </c>
      <c r="F21" s="8" t="s">
        <v>2</v>
      </c>
      <c r="G21" s="49"/>
      <c r="H21" s="12"/>
      <c r="I21" s="43"/>
    </row>
    <row r="22" spans="1:9" x14ac:dyDescent="0.25">
      <c r="A22" s="43"/>
      <c r="B22" s="18" t="s">
        <v>73</v>
      </c>
      <c r="C22" s="51">
        <f>SUM(C20:C21)</f>
        <v>0</v>
      </c>
      <c r="D22" s="14" t="s">
        <v>2</v>
      </c>
      <c r="E22" s="51">
        <f>SUM(E20:E21)</f>
        <v>0</v>
      </c>
      <c r="F22" s="14" t="s">
        <v>2</v>
      </c>
      <c r="G22" s="51">
        <f>C22+E22</f>
        <v>0</v>
      </c>
      <c r="H22" s="14" t="s">
        <v>2</v>
      </c>
      <c r="I22" s="43"/>
    </row>
    <row r="23" spans="1:9" x14ac:dyDescent="0.25">
      <c r="A23" s="43"/>
      <c r="B23" s="46" t="s">
        <v>22</v>
      </c>
      <c r="C23" s="48"/>
      <c r="D23" s="48"/>
      <c r="E23" s="48"/>
      <c r="F23" s="48"/>
      <c r="G23" s="48"/>
      <c r="H23" s="47"/>
      <c r="I23" s="43"/>
    </row>
    <row r="24" spans="1:9" x14ac:dyDescent="0.25">
      <c r="A24" s="43"/>
      <c r="B24" s="33" t="s">
        <v>22</v>
      </c>
      <c r="C24" s="7">
        <f>'Fane 4. Ikke-påvirkelige omk.'!E14</f>
        <v>236427.12935673996</v>
      </c>
      <c r="D24" s="8" t="s">
        <v>2</v>
      </c>
      <c r="E24" s="7">
        <f>+'Fane 4. Ikke-påvirkelige omk.'!E22</f>
        <v>2301139.3329912894</v>
      </c>
      <c r="F24" s="8" t="s">
        <v>2</v>
      </c>
      <c r="G24" s="49"/>
      <c r="H24" s="12"/>
      <c r="I24" s="43"/>
    </row>
    <row r="25" spans="1:9" x14ac:dyDescent="0.25">
      <c r="A25" s="43"/>
      <c r="B25" s="33" t="s">
        <v>75</v>
      </c>
      <c r="C25" s="7">
        <v>0</v>
      </c>
      <c r="D25" s="8" t="s">
        <v>2</v>
      </c>
      <c r="E25" s="7">
        <v>0</v>
      </c>
      <c r="F25" s="8" t="s">
        <v>2</v>
      </c>
      <c r="G25" s="49"/>
      <c r="H25" s="12"/>
      <c r="I25" s="43"/>
    </row>
    <row r="26" spans="1:9" x14ac:dyDescent="0.25">
      <c r="A26" s="43"/>
      <c r="B26" s="18" t="s">
        <v>76</v>
      </c>
      <c r="C26" s="51">
        <f>SUM(C24:C25)</f>
        <v>236427.12935673996</v>
      </c>
      <c r="D26" s="14" t="s">
        <v>2</v>
      </c>
      <c r="E26" s="51">
        <f>SUM(E24:E25)</f>
        <v>2301139.3329912894</v>
      </c>
      <c r="F26" s="14" t="s">
        <v>2</v>
      </c>
      <c r="G26" s="51">
        <f>C26+E26</f>
        <v>2537566.4623480295</v>
      </c>
      <c r="H26" s="14" t="s">
        <v>2</v>
      </c>
      <c r="I26" s="43"/>
    </row>
    <row r="27" spans="1:9" x14ac:dyDescent="0.25">
      <c r="A27" s="43"/>
      <c r="B27" s="46" t="s">
        <v>47</v>
      </c>
      <c r="C27" s="48"/>
      <c r="D27" s="48"/>
      <c r="E27" s="48"/>
      <c r="F27" s="48"/>
      <c r="G27" s="48"/>
      <c r="H27" s="47"/>
      <c r="I27" s="43"/>
    </row>
    <row r="28" spans="1:9" ht="26.25" x14ac:dyDescent="0.25">
      <c r="A28" s="43"/>
      <c r="B28" s="32" t="s">
        <v>77</v>
      </c>
      <c r="C28" s="7">
        <v>0</v>
      </c>
      <c r="D28" s="8" t="s">
        <v>2</v>
      </c>
      <c r="E28" s="7">
        <v>0</v>
      </c>
      <c r="F28" s="8" t="s">
        <v>2</v>
      </c>
      <c r="G28" s="21"/>
      <c r="H28" s="12"/>
      <c r="I28" s="43"/>
    </row>
    <row r="29" spans="1:9" x14ac:dyDescent="0.25">
      <c r="A29" s="43"/>
      <c r="B29" s="32" t="s">
        <v>48</v>
      </c>
      <c r="C29" s="7">
        <v>0</v>
      </c>
      <c r="D29" s="8" t="s">
        <v>2</v>
      </c>
      <c r="E29" s="7">
        <v>0</v>
      </c>
      <c r="F29" s="8" t="s">
        <v>2</v>
      </c>
      <c r="G29" s="20"/>
      <c r="H29" s="12"/>
      <c r="I29" s="43"/>
    </row>
    <row r="30" spans="1:9" ht="39" x14ac:dyDescent="0.25">
      <c r="A30" s="43"/>
      <c r="B30" s="33" t="s">
        <v>49</v>
      </c>
      <c r="C30" s="7">
        <v>106630.65362781567</v>
      </c>
      <c r="D30" s="8" t="s">
        <v>2</v>
      </c>
      <c r="E30" s="7">
        <v>11799.150666989457</v>
      </c>
      <c r="F30" s="8" t="s">
        <v>2</v>
      </c>
      <c r="G30" s="20"/>
      <c r="H30" s="12"/>
      <c r="I30" s="43"/>
    </row>
    <row r="31" spans="1:9" x14ac:dyDescent="0.25">
      <c r="A31" s="43"/>
      <c r="B31" s="18" t="s">
        <v>50</v>
      </c>
      <c r="C31" s="51">
        <f>SUM(C28:C30)</f>
        <v>106630.65362781567</v>
      </c>
      <c r="D31" s="14" t="s">
        <v>2</v>
      </c>
      <c r="E31" s="51">
        <f>SUM(E28:E30)</f>
        <v>11799.150666989457</v>
      </c>
      <c r="F31" s="14" t="s">
        <v>2</v>
      </c>
      <c r="G31" s="51">
        <f>C31+E31</f>
        <v>118429.80429480513</v>
      </c>
      <c r="H31" s="14" t="s">
        <v>2</v>
      </c>
      <c r="I31" s="43"/>
    </row>
    <row r="32" spans="1:9" x14ac:dyDescent="0.25">
      <c r="A32" s="43"/>
      <c r="B32" s="46" t="s">
        <v>15</v>
      </c>
      <c r="C32" s="48"/>
      <c r="D32" s="48"/>
      <c r="E32" s="48"/>
      <c r="F32" s="48"/>
      <c r="G32" s="48"/>
      <c r="H32" s="47"/>
      <c r="I32" s="43"/>
    </row>
    <row r="33" spans="1:9" ht="26.25" x14ac:dyDescent="0.25">
      <c r="A33" s="43"/>
      <c r="B33" s="18" t="s">
        <v>24</v>
      </c>
      <c r="C33" s="51">
        <f>'Fane 6. Hist. over el. underdæk'!G13</f>
        <v>0</v>
      </c>
      <c r="D33" s="14" t="s">
        <v>2</v>
      </c>
      <c r="E33" s="51">
        <f>'Fane 6. Hist. over el. underdæk'!M13</f>
        <v>0</v>
      </c>
      <c r="F33" s="14" t="s">
        <v>2</v>
      </c>
      <c r="G33" s="51">
        <f>C33+E33</f>
        <v>0</v>
      </c>
      <c r="H33" s="14" t="s">
        <v>2</v>
      </c>
      <c r="I33" s="43"/>
    </row>
    <row r="34" spans="1:9" ht="26.25" x14ac:dyDescent="0.25">
      <c r="A34" s="43"/>
      <c r="B34" s="46" t="s">
        <v>142</v>
      </c>
      <c r="C34" s="48"/>
      <c r="D34" s="47"/>
      <c r="E34" s="22"/>
      <c r="F34" s="47"/>
      <c r="G34" s="22">
        <f>SUM(G18,G22,G26,G31,G33)</f>
        <v>92751792.897898778</v>
      </c>
      <c r="H34" s="23" t="s">
        <v>2</v>
      </c>
      <c r="I34" s="43"/>
    </row>
    <row r="35" spans="1:9" x14ac:dyDescent="0.25">
      <c r="A35" s="43"/>
      <c r="B35" s="43"/>
      <c r="C35" s="43"/>
      <c r="D35" s="43"/>
      <c r="E35" s="43"/>
      <c r="F35" s="43"/>
      <c r="G35" s="43"/>
      <c r="H35" s="43"/>
      <c r="I35" s="43"/>
    </row>
    <row r="36" spans="1:9" x14ac:dyDescent="0.25">
      <c r="A36" s="43"/>
      <c r="B36" s="43"/>
      <c r="C36" s="43"/>
      <c r="D36" s="43"/>
      <c r="E36" s="43"/>
      <c r="F36" s="43"/>
      <c r="G36" s="43"/>
      <c r="H36" s="43"/>
      <c r="I36" s="43"/>
    </row>
    <row r="37" spans="1:9" x14ac:dyDescent="0.25">
      <c r="A37" s="43"/>
      <c r="B37" s="43"/>
      <c r="C37" s="43"/>
      <c r="D37" s="43"/>
      <c r="E37" s="43"/>
      <c r="F37" s="43"/>
      <c r="G37" s="43"/>
      <c r="H37" s="43"/>
      <c r="I37" s="43"/>
    </row>
    <row r="38" spans="1:9" x14ac:dyDescent="0.25">
      <c r="A38" s="43"/>
      <c r="B38" s="43"/>
      <c r="C38" s="43"/>
      <c r="D38" s="43"/>
      <c r="E38" s="43"/>
      <c r="F38" s="43"/>
      <c r="G38" s="43"/>
      <c r="H38" s="43"/>
      <c r="I38" s="43"/>
    </row>
    <row r="39" spans="1:9" x14ac:dyDescent="0.25">
      <c r="A39" s="43"/>
      <c r="B39" s="43"/>
      <c r="C39" s="43"/>
      <c r="D39" s="43"/>
      <c r="E39" s="43"/>
      <c r="F39" s="43"/>
      <c r="G39" s="43"/>
      <c r="H39" s="43"/>
      <c r="I39" s="43"/>
    </row>
    <row r="40" spans="1:9" x14ac:dyDescent="0.25">
      <c r="A40" s="43"/>
      <c r="B40" s="43"/>
      <c r="C40" s="43"/>
      <c r="D40" s="43"/>
      <c r="E40" s="43"/>
      <c r="F40" s="43"/>
      <c r="G40" s="43"/>
      <c r="H40" s="43"/>
      <c r="I40" s="43"/>
    </row>
    <row r="41" spans="1:9" x14ac:dyDescent="0.25">
      <c r="A41" s="43"/>
      <c r="B41" s="43"/>
      <c r="C41" s="43"/>
      <c r="D41" s="43"/>
      <c r="E41" s="43"/>
      <c r="F41" s="43"/>
      <c r="G41" s="43"/>
      <c r="H41" s="43"/>
      <c r="I41" s="43"/>
    </row>
    <row r="42" spans="1:9" x14ac:dyDescent="0.25">
      <c r="A42" s="43"/>
      <c r="B42" s="43"/>
      <c r="C42" s="43"/>
      <c r="D42" s="43"/>
      <c r="E42" s="43"/>
      <c r="F42" s="43"/>
      <c r="G42" s="43"/>
      <c r="H42" s="43"/>
      <c r="I42" s="43"/>
    </row>
  </sheetData>
  <sheetProtection algorithmName="SHA-512" hashValue="imQKXlT9NErnhhQ5De+Ao2uGsm7iINRp6Sc9B1CptAEKtpMDCJ1VHjyYfFBBrNmhGz3fg3Vi1K0ULYegr3BycA==" saltValue="+Iyinp2urrRG8mUnmONL+Q==" spinCount="100000" sheet="1" objects="1" scenarios="1"/>
  <mergeCells count="1">
    <mergeCell ref="B3:H4"/>
  </mergeCells>
  <pageMargins left="0.3263888888888889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8"/>
  <sheetViews>
    <sheetView showGridLines="0" view="pageLayout" zoomScaleNormal="100" workbookViewId="0">
      <selection activeCell="C22" sqref="C22"/>
    </sheetView>
  </sheetViews>
  <sheetFormatPr defaultColWidth="9.140625" defaultRowHeight="15" x14ac:dyDescent="0.25"/>
  <cols>
    <col min="1" max="1" width="2.7109375" style="44" customWidth="1"/>
    <col min="2" max="2" width="33.5703125" style="44" customWidth="1"/>
    <col min="3" max="3" width="19.140625" style="44" customWidth="1"/>
    <col min="4" max="4" width="3.28515625" style="44" customWidth="1"/>
    <col min="5" max="5" width="14.5703125" style="44" customWidth="1"/>
    <col min="6" max="6" width="3.28515625" style="44" customWidth="1"/>
    <col min="7" max="7" width="10.7109375" style="44" customWidth="1"/>
    <col min="8" max="8" width="3.28515625" style="44" customWidth="1"/>
    <col min="9" max="9" width="2.7109375" style="44" customWidth="1"/>
    <col min="10" max="16384" width="9.140625" style="44"/>
  </cols>
  <sheetData>
    <row r="1" spans="1:9" x14ac:dyDescent="0.25">
      <c r="A1" s="43"/>
      <c r="B1" s="43"/>
      <c r="C1" s="43"/>
      <c r="D1" s="43"/>
      <c r="E1" s="43"/>
      <c r="F1" s="43"/>
      <c r="G1" s="43"/>
      <c r="H1" s="43"/>
      <c r="I1" s="43"/>
    </row>
    <row r="2" spans="1:9" x14ac:dyDescent="0.25">
      <c r="A2" s="43"/>
      <c r="B2" s="43"/>
      <c r="C2" s="43"/>
      <c r="D2" s="43"/>
      <c r="E2" s="43"/>
      <c r="F2" s="43"/>
      <c r="G2" s="43"/>
      <c r="H2" s="43"/>
      <c r="I2" s="43"/>
    </row>
    <row r="3" spans="1:9" x14ac:dyDescent="0.25">
      <c r="A3" s="43"/>
      <c r="B3" s="88" t="s">
        <v>39</v>
      </c>
      <c r="C3" s="88"/>
      <c r="D3" s="88"/>
      <c r="E3" s="88"/>
      <c r="F3" s="88"/>
      <c r="G3" s="88"/>
      <c r="H3" s="88"/>
      <c r="I3" s="43"/>
    </row>
    <row r="4" spans="1:9" x14ac:dyDescent="0.25">
      <c r="A4" s="43"/>
      <c r="B4" s="88"/>
      <c r="C4" s="88"/>
      <c r="D4" s="88"/>
      <c r="E4" s="88"/>
      <c r="F4" s="88"/>
      <c r="G4" s="88"/>
      <c r="H4" s="88"/>
      <c r="I4" s="43"/>
    </row>
    <row r="5" spans="1:9" x14ac:dyDescent="0.25">
      <c r="A5" s="43"/>
      <c r="B5" s="89" t="s">
        <v>40</v>
      </c>
      <c r="C5" s="89"/>
      <c r="D5" s="89"/>
      <c r="E5" s="89"/>
      <c r="F5" s="89"/>
      <c r="G5" s="89"/>
      <c r="H5" s="89"/>
      <c r="I5" s="43"/>
    </row>
    <row r="6" spans="1:9" x14ac:dyDescent="0.25">
      <c r="A6" s="43"/>
      <c r="B6" s="43"/>
      <c r="C6" s="43"/>
      <c r="D6" s="43"/>
      <c r="E6" s="43"/>
      <c r="F6" s="43"/>
      <c r="G6" s="43"/>
      <c r="H6" s="43"/>
      <c r="I6" s="43"/>
    </row>
    <row r="7" spans="1:9" x14ac:dyDescent="0.25">
      <c r="A7" s="43"/>
      <c r="B7" s="43"/>
      <c r="C7" s="43"/>
      <c r="D7" s="43"/>
      <c r="E7" s="43"/>
      <c r="F7" s="43"/>
      <c r="G7" s="43"/>
      <c r="H7" s="43"/>
      <c r="I7" s="43"/>
    </row>
    <row r="8" spans="1:9" ht="26.25" x14ac:dyDescent="0.25">
      <c r="A8" s="43"/>
      <c r="B8" s="46" t="s">
        <v>25</v>
      </c>
      <c r="C8" s="46" t="s">
        <v>149</v>
      </c>
      <c r="D8" s="47"/>
      <c r="E8" s="46" t="s">
        <v>150</v>
      </c>
      <c r="F8" s="47"/>
      <c r="G8" s="48" t="s">
        <v>141</v>
      </c>
      <c r="H8" s="47"/>
      <c r="I8" s="43"/>
    </row>
    <row r="9" spans="1:9" ht="26.25" x14ac:dyDescent="0.25">
      <c r="A9" s="43"/>
      <c r="B9" s="32" t="s">
        <v>52</v>
      </c>
      <c r="C9" s="7">
        <f>+'Fane 2.1. Økonomisk ramme 2019'!C18</f>
        <v>66907253.432433046</v>
      </c>
      <c r="D9" s="8" t="s">
        <v>2</v>
      </c>
      <c r="E9" s="7">
        <f>+'Fane 2.1. Økonomisk ramme 2019'!E18</f>
        <v>23188543.198822893</v>
      </c>
      <c r="F9" s="8" t="s">
        <v>2</v>
      </c>
      <c r="G9" s="9"/>
      <c r="H9" s="10"/>
      <c r="I9" s="43"/>
    </row>
    <row r="10" spans="1:9" x14ac:dyDescent="0.25">
      <c r="A10" s="43"/>
      <c r="B10" s="33" t="s">
        <v>35</v>
      </c>
      <c r="C10" s="7">
        <f>SUM(C9:C9)*Prisudvikling2019</f>
        <v>1130732.5830081184</v>
      </c>
      <c r="D10" s="8" t="s">
        <v>2</v>
      </c>
      <c r="E10" s="7">
        <f>SUM(E9:E9)*Prisudvikling2019</f>
        <v>391886.38006010687</v>
      </c>
      <c r="F10" s="8" t="s">
        <v>2</v>
      </c>
      <c r="G10" s="49"/>
      <c r="H10" s="12"/>
      <c r="I10" s="43"/>
    </row>
    <row r="11" spans="1:9" x14ac:dyDescent="0.25">
      <c r="A11" s="43"/>
      <c r="B11" s="33" t="s">
        <v>13</v>
      </c>
      <c r="C11" s="7">
        <f>-SUM(C9:C10)*IndividueltKrav</f>
        <v>0</v>
      </c>
      <c r="D11" s="8" t="s">
        <v>2</v>
      </c>
      <c r="E11" s="7">
        <f>-SUM(E9:E10)*'Fane 11. Nøgletal'!F15</f>
        <v>0</v>
      </c>
      <c r="F11" s="8" t="s">
        <v>2</v>
      </c>
      <c r="G11" s="49"/>
      <c r="H11" s="12"/>
      <c r="I11" s="43"/>
    </row>
    <row r="12" spans="1:9" x14ac:dyDescent="0.25">
      <c r="A12" s="43"/>
      <c r="B12" s="33" t="s">
        <v>57</v>
      </c>
      <c r="C12" s="7">
        <f>('Fane 2.1. Økonomisk ramme 2019'!C16/GenereltKravDrift2018-'Fane 2.1. Økonomisk ramme 2019'!C16)*(1+Prisudvikling2019)*GenereltKravDrift2019</f>
        <v>-266833.93677045417</v>
      </c>
      <c r="D12" s="8" t="s">
        <v>2</v>
      </c>
      <c r="E12" s="7">
        <f>('Fane 2.1. Økonomisk ramme 2019'!E16/GenereltKravDrift2018-'Fane 2.1. Økonomisk ramme 2019'!E16)*(1+Prisudvikling2019)*GenereltKravDrift2019</f>
        <v>-331246.98350239964</v>
      </c>
      <c r="F12" s="8" t="s">
        <v>2</v>
      </c>
      <c r="G12" s="20"/>
      <c r="H12" s="12"/>
      <c r="I12" s="43"/>
    </row>
    <row r="13" spans="1:9" x14ac:dyDescent="0.25">
      <c r="A13" s="43"/>
      <c r="B13" s="33" t="s">
        <v>58</v>
      </c>
      <c r="C13" s="7">
        <f>(('Fane 2.1. Økonomisk ramme 2019'!C17/GenereltKravAnlæg2018-'Fane 2.1. Økonomisk ramme 2019'!C17)*(1+Prisudvikling2019)*GenereltKravAnlæg2019)</f>
        <v>-474574.26221725112</v>
      </c>
      <c r="D13" s="8" t="s">
        <v>2</v>
      </c>
      <c r="E13" s="7">
        <f>(('Fane 2.1. Økonomisk ramme 2019'!E17/GenereltKravAnlæg2018-'Fane 2.1. Økonomisk ramme 2019'!E17)*(1+Prisudvikling2019)*GenereltKravAnlæg2019)</f>
        <v>-61057.299512738304</v>
      </c>
      <c r="F13" s="8" t="s">
        <v>2</v>
      </c>
      <c r="G13" s="50"/>
      <c r="H13" s="13"/>
      <c r="I13" s="43"/>
    </row>
    <row r="14" spans="1:9" x14ac:dyDescent="0.25">
      <c r="A14" s="43"/>
      <c r="B14" s="18" t="s">
        <v>37</v>
      </c>
      <c r="C14" s="51">
        <f>SUM(C9:C13)</f>
        <v>67296577.816453457</v>
      </c>
      <c r="D14" s="14" t="s">
        <v>2</v>
      </c>
      <c r="E14" s="51">
        <f>SUM(E9:E13)</f>
        <v>23188125.295867864</v>
      </c>
      <c r="F14" s="14" t="s">
        <v>2</v>
      </c>
      <c r="G14" s="51">
        <f>C14+E14</f>
        <v>90484703.112321317</v>
      </c>
      <c r="H14" s="14" t="s">
        <v>2</v>
      </c>
      <c r="I14" s="43"/>
    </row>
    <row r="15" spans="1:9" x14ac:dyDescent="0.25">
      <c r="A15" s="43"/>
      <c r="B15" s="90" t="s">
        <v>70</v>
      </c>
      <c r="C15" s="91"/>
      <c r="D15" s="91"/>
      <c r="E15" s="91"/>
      <c r="F15" s="91"/>
      <c r="G15" s="91"/>
      <c r="H15" s="92"/>
      <c r="I15" s="43"/>
    </row>
    <row r="16" spans="1:9" ht="26.25" x14ac:dyDescent="0.25">
      <c r="A16" s="43"/>
      <c r="B16" s="33" t="s">
        <v>128</v>
      </c>
      <c r="C16" s="7">
        <v>0</v>
      </c>
      <c r="D16" s="8" t="s">
        <v>2</v>
      </c>
      <c r="E16" s="7">
        <v>0</v>
      </c>
      <c r="F16" s="8" t="s">
        <v>2</v>
      </c>
      <c r="G16" s="49"/>
      <c r="H16" s="12"/>
      <c r="I16" s="43"/>
    </row>
    <row r="17" spans="1:9" ht="26.25" x14ac:dyDescent="0.25">
      <c r="A17" s="43"/>
      <c r="B17" s="33" t="s">
        <v>72</v>
      </c>
      <c r="C17" s="7">
        <f>-(C16*(GenereltKravDrift2019+IndividueltKrav))</f>
        <v>0</v>
      </c>
      <c r="D17" s="8" t="s">
        <v>2</v>
      </c>
      <c r="E17" s="7">
        <f>-(E16*(GenereltKravDrift2019+IndividueltKrav))</f>
        <v>0</v>
      </c>
      <c r="F17" s="8" t="s">
        <v>2</v>
      </c>
      <c r="G17" s="49"/>
      <c r="H17" s="12"/>
      <c r="I17" s="43"/>
    </row>
    <row r="18" spans="1:9" x14ac:dyDescent="0.25">
      <c r="A18" s="43"/>
      <c r="B18" s="18" t="s">
        <v>73</v>
      </c>
      <c r="C18" s="51">
        <f>SUM(C16:C17)</f>
        <v>0</v>
      </c>
      <c r="D18" s="14" t="s">
        <v>2</v>
      </c>
      <c r="E18" s="51">
        <f>SUM(E16:E17)</f>
        <v>0</v>
      </c>
      <c r="F18" s="14" t="s">
        <v>2</v>
      </c>
      <c r="G18" s="51">
        <f>C18+E18</f>
        <v>0</v>
      </c>
      <c r="H18" s="14" t="s">
        <v>2</v>
      </c>
      <c r="I18" s="43"/>
    </row>
    <row r="19" spans="1:9" x14ac:dyDescent="0.25">
      <c r="A19" s="43"/>
      <c r="B19" s="90" t="s">
        <v>22</v>
      </c>
      <c r="C19" s="91"/>
      <c r="D19" s="91"/>
      <c r="E19" s="91"/>
      <c r="F19" s="91"/>
      <c r="G19" s="91"/>
      <c r="H19" s="92"/>
      <c r="I19" s="43"/>
    </row>
    <row r="20" spans="1:9" x14ac:dyDescent="0.25">
      <c r="A20" s="43"/>
      <c r="B20" s="33" t="s">
        <v>22</v>
      </c>
      <c r="C20" s="7">
        <f>'Fane 4. Ikke-påvirkelige omk.'!E14*(1+Prisudvikling2019)</f>
        <v>240422.74784286885</v>
      </c>
      <c r="D20" s="8" t="s">
        <v>2</v>
      </c>
      <c r="E20" s="7">
        <f>'Fane 4. Ikke-påvirkelige omk.'!E22*(1+Prisudvikling2019)</f>
        <v>2340028.5877188421</v>
      </c>
      <c r="F20" s="8" t="s">
        <v>2</v>
      </c>
      <c r="G20" s="49"/>
      <c r="H20" s="12"/>
      <c r="I20" s="43"/>
    </row>
    <row r="21" spans="1:9" x14ac:dyDescent="0.25">
      <c r="A21" s="43"/>
      <c r="B21" s="33" t="s">
        <v>75</v>
      </c>
      <c r="C21" s="7">
        <v>0</v>
      </c>
      <c r="D21" s="8" t="s">
        <v>2</v>
      </c>
      <c r="E21" s="7">
        <v>0</v>
      </c>
      <c r="F21" s="8" t="s">
        <v>2</v>
      </c>
      <c r="G21" s="20"/>
      <c r="H21" s="12"/>
      <c r="I21" s="43"/>
    </row>
    <row r="22" spans="1:9" x14ac:dyDescent="0.25">
      <c r="A22" s="43"/>
      <c r="B22" s="18" t="s">
        <v>76</v>
      </c>
      <c r="C22" s="51">
        <f>SUM(C20:C21)</f>
        <v>240422.74784286885</v>
      </c>
      <c r="D22" s="14" t="s">
        <v>2</v>
      </c>
      <c r="E22" s="51">
        <f>SUM(E20:E21)</f>
        <v>2340028.5877188421</v>
      </c>
      <c r="F22" s="14" t="s">
        <v>2</v>
      </c>
      <c r="G22" s="51">
        <f>C22+E22</f>
        <v>2580451.3355617109</v>
      </c>
      <c r="H22" s="14" t="s">
        <v>2</v>
      </c>
      <c r="I22" s="43"/>
    </row>
    <row r="23" spans="1:9" x14ac:dyDescent="0.25">
      <c r="A23" s="43"/>
      <c r="B23" s="90" t="s">
        <v>15</v>
      </c>
      <c r="C23" s="91"/>
      <c r="D23" s="91"/>
      <c r="E23" s="91"/>
      <c r="F23" s="91"/>
      <c r="G23" s="91"/>
      <c r="H23" s="92"/>
      <c r="I23" s="43"/>
    </row>
    <row r="24" spans="1:9" ht="26.25" x14ac:dyDescent="0.25">
      <c r="A24" s="43"/>
      <c r="B24" s="18" t="s">
        <v>24</v>
      </c>
      <c r="C24" s="51">
        <f>IF('Fane 6. Hist. over el. underdæk'!G12&gt;1,'Fane 6. Hist. over el. underdæk'!G13,0)</f>
        <v>0</v>
      </c>
      <c r="D24" s="14" t="s">
        <v>2</v>
      </c>
      <c r="E24" s="51">
        <f>IF('Fane 6. Hist. over el. underdæk'!M12&gt;1,'Fane 6. Hist. over el. underdæk'!M13,0)</f>
        <v>0</v>
      </c>
      <c r="F24" s="14" t="s">
        <v>2</v>
      </c>
      <c r="G24" s="51">
        <f>C24+E24</f>
        <v>0</v>
      </c>
      <c r="H24" s="14" t="s">
        <v>2</v>
      </c>
      <c r="I24" s="43"/>
    </row>
    <row r="25" spans="1:9" x14ac:dyDescent="0.25">
      <c r="A25" s="43"/>
      <c r="B25" s="90" t="s">
        <v>112</v>
      </c>
      <c r="C25" s="91"/>
      <c r="D25" s="91"/>
      <c r="E25" s="91"/>
      <c r="F25" s="91"/>
      <c r="G25" s="91"/>
      <c r="H25" s="92"/>
      <c r="I25" s="43"/>
    </row>
    <row r="26" spans="1:9" ht="26.25" x14ac:dyDescent="0.25">
      <c r="A26" s="43"/>
      <c r="B26" s="18" t="s">
        <v>104</v>
      </c>
      <c r="C26" s="51">
        <f>'Fane 7. Kontrol af ØR2017'!G18</f>
        <v>0</v>
      </c>
      <c r="D26" s="14" t="s">
        <v>2</v>
      </c>
      <c r="E26" s="51">
        <f>'Fane 7. Kontrol af ØR2017'!I18</f>
        <v>0</v>
      </c>
      <c r="F26" s="14" t="s">
        <v>2</v>
      </c>
      <c r="G26" s="51">
        <f>C26+E26</f>
        <v>0</v>
      </c>
      <c r="H26" s="14" t="s">
        <v>2</v>
      </c>
      <c r="I26" s="43"/>
    </row>
    <row r="27" spans="1:9" ht="26.25" x14ac:dyDescent="0.25">
      <c r="A27" s="43"/>
      <c r="B27" s="46" t="s">
        <v>53</v>
      </c>
      <c r="C27" s="48"/>
      <c r="D27" s="47"/>
      <c r="E27" s="47"/>
      <c r="F27" s="47"/>
      <c r="G27" s="22">
        <f>SUM(G14,G18,G22,G24,G26)</f>
        <v>93065154.447883025</v>
      </c>
      <c r="H27" s="23" t="s">
        <v>2</v>
      </c>
      <c r="I27" s="43"/>
    </row>
    <row r="28" spans="1:9" x14ac:dyDescent="0.25">
      <c r="A28" s="43"/>
      <c r="B28" s="43"/>
      <c r="C28" s="43"/>
      <c r="D28" s="43"/>
      <c r="E28" s="43"/>
      <c r="F28" s="43"/>
      <c r="G28" s="43"/>
      <c r="H28" s="43"/>
      <c r="I28" s="43"/>
    </row>
    <row r="29" spans="1:9" x14ac:dyDescent="0.25">
      <c r="A29" s="43"/>
      <c r="B29" s="43"/>
      <c r="C29" s="43"/>
      <c r="D29" s="43"/>
      <c r="E29" s="43"/>
      <c r="F29" s="43"/>
      <c r="G29" s="43"/>
      <c r="H29" s="43"/>
      <c r="I29" s="43"/>
    </row>
    <row r="30" spans="1:9" x14ac:dyDescent="0.25">
      <c r="A30" s="43"/>
      <c r="B30" s="43"/>
      <c r="C30" s="43"/>
      <c r="D30" s="43"/>
      <c r="E30" s="43"/>
      <c r="F30" s="43"/>
      <c r="G30" s="43"/>
      <c r="H30" s="43"/>
      <c r="I30" s="43"/>
    </row>
    <row r="31" spans="1:9" x14ac:dyDescent="0.25">
      <c r="A31" s="43"/>
      <c r="B31" s="43"/>
      <c r="C31" s="43"/>
      <c r="D31" s="43"/>
      <c r="E31" s="43"/>
      <c r="F31" s="43"/>
      <c r="G31" s="43"/>
      <c r="H31" s="43"/>
      <c r="I31" s="43"/>
    </row>
    <row r="32" spans="1:9" x14ac:dyDescent="0.25">
      <c r="A32" s="43"/>
      <c r="B32" s="43"/>
      <c r="C32" s="43"/>
      <c r="D32" s="43"/>
      <c r="E32" s="43"/>
      <c r="F32" s="43"/>
      <c r="G32" s="43"/>
      <c r="H32" s="43"/>
      <c r="I32" s="43"/>
    </row>
    <row r="33" spans="1:9" x14ac:dyDescent="0.25">
      <c r="A33" s="43"/>
      <c r="B33" s="43"/>
      <c r="C33" s="43"/>
      <c r="D33" s="43"/>
      <c r="E33" s="43"/>
      <c r="F33" s="43"/>
      <c r="G33" s="43"/>
      <c r="H33" s="43"/>
      <c r="I33" s="43"/>
    </row>
    <row r="34" spans="1:9" x14ac:dyDescent="0.25">
      <c r="A34" s="43"/>
      <c r="B34" s="43"/>
      <c r="C34" s="43"/>
      <c r="D34" s="43"/>
      <c r="E34" s="43"/>
      <c r="F34" s="43"/>
      <c r="G34" s="43"/>
      <c r="H34" s="43"/>
      <c r="I34" s="43"/>
    </row>
    <row r="35" spans="1:9" x14ac:dyDescent="0.25">
      <c r="A35" s="43"/>
      <c r="B35" s="43"/>
      <c r="C35" s="43"/>
      <c r="D35" s="43"/>
      <c r="E35" s="43"/>
      <c r="F35" s="43"/>
      <c r="G35" s="43"/>
      <c r="H35" s="43"/>
      <c r="I35" s="43"/>
    </row>
    <row r="36" spans="1:9" x14ac:dyDescent="0.25">
      <c r="A36" s="43"/>
      <c r="B36" s="43"/>
      <c r="C36" s="43"/>
      <c r="D36" s="43"/>
      <c r="E36" s="43"/>
      <c r="F36" s="43"/>
      <c r="G36" s="43"/>
      <c r="H36" s="43"/>
      <c r="I36" s="43"/>
    </row>
    <row r="37" spans="1:9" x14ac:dyDescent="0.25">
      <c r="A37" s="43"/>
      <c r="B37" s="43"/>
      <c r="C37" s="43"/>
      <c r="D37" s="43"/>
      <c r="E37" s="43"/>
      <c r="F37" s="43"/>
      <c r="G37" s="43"/>
      <c r="H37" s="43"/>
      <c r="I37" s="43"/>
    </row>
    <row r="38" spans="1:9" x14ac:dyDescent="0.25">
      <c r="A38" s="43"/>
      <c r="B38" s="43"/>
      <c r="C38" s="43"/>
      <c r="D38" s="43"/>
      <c r="E38" s="43"/>
      <c r="F38" s="43"/>
      <c r="G38" s="43"/>
      <c r="H38" s="43"/>
      <c r="I38" s="43"/>
    </row>
    <row r="39" spans="1:9" x14ac:dyDescent="0.25">
      <c r="A39" s="43"/>
      <c r="B39" s="43"/>
      <c r="C39" s="43"/>
      <c r="D39" s="43"/>
      <c r="E39" s="43"/>
      <c r="F39" s="43"/>
      <c r="G39" s="43"/>
      <c r="H39" s="43"/>
      <c r="I39" s="43"/>
    </row>
    <row r="40" spans="1:9" x14ac:dyDescent="0.25">
      <c r="A40" s="43"/>
      <c r="B40" s="43"/>
      <c r="C40" s="43"/>
      <c r="D40" s="43"/>
      <c r="E40" s="43"/>
      <c r="F40" s="43"/>
      <c r="G40" s="43"/>
      <c r="H40" s="43"/>
      <c r="I40" s="43"/>
    </row>
    <row r="41" spans="1:9" x14ac:dyDescent="0.25">
      <c r="A41" s="43"/>
      <c r="B41" s="43"/>
      <c r="C41" s="43"/>
      <c r="D41" s="43"/>
      <c r="E41" s="43"/>
      <c r="F41" s="43"/>
      <c r="G41" s="43"/>
      <c r="H41" s="43"/>
      <c r="I41" s="43"/>
    </row>
    <row r="42" spans="1:9" x14ac:dyDescent="0.25">
      <c r="A42" s="43"/>
      <c r="B42" s="43"/>
      <c r="C42" s="43"/>
      <c r="D42" s="43"/>
      <c r="E42" s="43"/>
      <c r="F42" s="43"/>
      <c r="G42" s="43"/>
      <c r="H42" s="43"/>
      <c r="I42" s="43"/>
    </row>
    <row r="43" spans="1:9" x14ac:dyDescent="0.25">
      <c r="A43" s="43"/>
      <c r="B43" s="43"/>
      <c r="C43" s="43"/>
      <c r="D43" s="43"/>
      <c r="E43" s="43"/>
      <c r="F43" s="43"/>
      <c r="G43" s="43"/>
      <c r="H43" s="43"/>
      <c r="I43" s="43"/>
    </row>
    <row r="44" spans="1:9" x14ac:dyDescent="0.25">
      <c r="A44" s="43"/>
      <c r="B44" s="43"/>
      <c r="C44" s="43"/>
      <c r="D44" s="43"/>
      <c r="E44" s="43"/>
      <c r="F44" s="43"/>
      <c r="G44" s="43"/>
      <c r="H44" s="43"/>
      <c r="I44" s="43"/>
    </row>
    <row r="45" spans="1:9" x14ac:dyDescent="0.25">
      <c r="A45" s="43"/>
      <c r="B45" s="43"/>
      <c r="C45" s="43"/>
      <c r="D45" s="43"/>
      <c r="E45" s="43"/>
      <c r="F45" s="43"/>
      <c r="G45" s="43"/>
      <c r="H45" s="43"/>
      <c r="I45" s="43"/>
    </row>
    <row r="46" spans="1:9" x14ac:dyDescent="0.25">
      <c r="A46" s="43"/>
      <c r="B46" s="43"/>
      <c r="C46" s="43"/>
      <c r="D46" s="43"/>
      <c r="E46" s="43"/>
      <c r="F46" s="43"/>
      <c r="G46" s="43"/>
      <c r="H46" s="43"/>
      <c r="I46" s="43"/>
    </row>
    <row r="47" spans="1:9" x14ac:dyDescent="0.25">
      <c r="A47" s="43"/>
      <c r="B47" s="43"/>
      <c r="C47" s="43"/>
      <c r="D47" s="43"/>
      <c r="E47" s="43"/>
      <c r="F47" s="43"/>
      <c r="G47" s="43"/>
      <c r="H47" s="43"/>
      <c r="I47" s="43"/>
    </row>
    <row r="48" spans="1:9" x14ac:dyDescent="0.25">
      <c r="A48" s="43"/>
      <c r="B48" s="43"/>
      <c r="C48" s="43"/>
      <c r="D48" s="43"/>
      <c r="E48" s="43"/>
      <c r="F48" s="43"/>
      <c r="G48" s="43"/>
      <c r="H48" s="43"/>
      <c r="I48" s="43"/>
    </row>
  </sheetData>
  <sheetProtection algorithmName="SHA-512" hashValue="raF9NKNnuj8I1knOM+Xov//S+y6DOMw/ghshLXn9SvmM/2+mrlLYgNlOm0yhCn/naPJLxWHUL/dM7FAIbK/jCQ==" saltValue="jYHsp3LjbQjdnTh/AmixrQ==" spinCount="100000" sheet="1" objects="1" scenarios="1"/>
  <mergeCells count="6">
    <mergeCell ref="B3:H4"/>
    <mergeCell ref="B5:H5"/>
    <mergeCell ref="B25:H25"/>
    <mergeCell ref="B23:H23"/>
    <mergeCell ref="B19:H19"/>
    <mergeCell ref="B15:H15"/>
  </mergeCells>
  <pageMargins left="0.21527777777777779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7"/>
  <sheetViews>
    <sheetView showGridLines="0" view="pageLayout" zoomScaleNormal="100" workbookViewId="0">
      <selection activeCell="H27" sqref="H27"/>
    </sheetView>
  </sheetViews>
  <sheetFormatPr defaultColWidth="9.140625" defaultRowHeight="15" x14ac:dyDescent="0.25"/>
  <cols>
    <col min="1" max="1" width="2.7109375" style="44" customWidth="1"/>
    <col min="2" max="2" width="33.5703125" style="44" customWidth="1"/>
    <col min="3" max="3" width="18.7109375" style="44" customWidth="1"/>
    <col min="4" max="4" width="3.28515625" style="44" customWidth="1"/>
    <col min="5" max="5" width="15.5703125" style="44" customWidth="1"/>
    <col min="6" max="6" width="3.28515625" style="44" customWidth="1"/>
    <col min="7" max="7" width="10.7109375" style="44" customWidth="1"/>
    <col min="8" max="8" width="3.28515625" style="44" customWidth="1"/>
    <col min="9" max="9" width="2.7109375" style="44" customWidth="1"/>
    <col min="10" max="16384" width="9.140625" style="44"/>
  </cols>
  <sheetData>
    <row r="1" spans="1:9" x14ac:dyDescent="0.25">
      <c r="A1" s="43"/>
      <c r="B1" s="43"/>
      <c r="C1" s="43"/>
      <c r="D1" s="43"/>
      <c r="E1" s="43"/>
      <c r="F1" s="43"/>
      <c r="G1" s="43"/>
      <c r="H1" s="43"/>
      <c r="I1" s="43"/>
    </row>
    <row r="2" spans="1:9" x14ac:dyDescent="0.25">
      <c r="A2" s="43"/>
      <c r="B2" s="43"/>
      <c r="C2" s="43"/>
      <c r="D2" s="43"/>
      <c r="E2" s="43"/>
      <c r="F2" s="43"/>
      <c r="G2" s="43"/>
      <c r="H2" s="43"/>
      <c r="I2" s="43"/>
    </row>
    <row r="3" spans="1:9" x14ac:dyDescent="0.25">
      <c r="A3" s="43"/>
      <c r="B3" s="88" t="s">
        <v>87</v>
      </c>
      <c r="C3" s="88"/>
      <c r="D3" s="88"/>
      <c r="E3" s="88"/>
      <c r="F3" s="88"/>
      <c r="G3" s="88"/>
      <c r="H3" s="88"/>
      <c r="I3" s="43"/>
    </row>
    <row r="4" spans="1:9" x14ac:dyDescent="0.25">
      <c r="A4" s="43"/>
      <c r="B4" s="88"/>
      <c r="C4" s="88"/>
      <c r="D4" s="88"/>
      <c r="E4" s="88"/>
      <c r="F4" s="88"/>
      <c r="G4" s="88"/>
      <c r="H4" s="88"/>
      <c r="I4" s="43"/>
    </row>
    <row r="5" spans="1:9" x14ac:dyDescent="0.25">
      <c r="A5" s="43"/>
      <c r="B5" s="89" t="s">
        <v>40</v>
      </c>
      <c r="C5" s="89"/>
      <c r="D5" s="89"/>
      <c r="E5" s="89"/>
      <c r="F5" s="89"/>
      <c r="G5" s="89"/>
      <c r="H5" s="89"/>
      <c r="I5" s="43"/>
    </row>
    <row r="6" spans="1:9" x14ac:dyDescent="0.25">
      <c r="A6" s="43"/>
      <c r="B6" s="43"/>
      <c r="C6" s="43"/>
      <c r="D6" s="43"/>
      <c r="E6" s="43"/>
      <c r="F6" s="43"/>
      <c r="G6" s="43"/>
      <c r="H6" s="43"/>
      <c r="I6" s="43"/>
    </row>
    <row r="7" spans="1:9" x14ac:dyDescent="0.25">
      <c r="A7" s="43"/>
      <c r="B7" s="43"/>
      <c r="C7" s="43"/>
      <c r="D7" s="43"/>
      <c r="E7" s="43"/>
      <c r="F7" s="43"/>
      <c r="G7" s="43"/>
      <c r="H7" s="43"/>
      <c r="I7" s="43"/>
    </row>
    <row r="8" spans="1:9" ht="26.25" x14ac:dyDescent="0.25">
      <c r="A8" s="43"/>
      <c r="B8" s="46" t="s">
        <v>25</v>
      </c>
      <c r="C8" s="46" t="s">
        <v>149</v>
      </c>
      <c r="D8" s="47"/>
      <c r="E8" s="46" t="s">
        <v>150</v>
      </c>
      <c r="F8" s="47"/>
      <c r="G8" s="48" t="s">
        <v>141</v>
      </c>
      <c r="H8" s="47"/>
      <c r="I8" s="43"/>
    </row>
    <row r="9" spans="1:9" ht="26.25" x14ac:dyDescent="0.25">
      <c r="A9" s="43"/>
      <c r="B9" s="32" t="s">
        <v>54</v>
      </c>
      <c r="C9" s="7">
        <f>+'Fane 2.2. Økonomisk ramme 2020'!C14</f>
        <v>67296577.816453457</v>
      </c>
      <c r="D9" s="8" t="s">
        <v>2</v>
      </c>
      <c r="E9" s="7">
        <f>+'Fane 2.2. Økonomisk ramme 2020'!E14</f>
        <v>23188125.295867864</v>
      </c>
      <c r="F9" s="8" t="s">
        <v>2</v>
      </c>
      <c r="G9" s="9"/>
      <c r="H9" s="10"/>
      <c r="I9" s="43"/>
    </row>
    <row r="10" spans="1:9" x14ac:dyDescent="0.25">
      <c r="A10" s="43"/>
      <c r="B10" s="33" t="s">
        <v>35</v>
      </c>
      <c r="C10" s="7">
        <f>C9*Prisudvikling2019</f>
        <v>1137312.1650980634</v>
      </c>
      <c r="D10" s="8" t="s">
        <v>2</v>
      </c>
      <c r="E10" s="7">
        <f>E9*Prisudvikling2019</f>
        <v>391879.31750016689</v>
      </c>
      <c r="F10" s="8" t="s">
        <v>2</v>
      </c>
      <c r="G10" s="49"/>
      <c r="H10" s="12"/>
      <c r="I10" s="43"/>
    </row>
    <row r="11" spans="1:9" x14ac:dyDescent="0.25">
      <c r="A11" s="43"/>
      <c r="B11" s="33" t="s">
        <v>13</v>
      </c>
      <c r="C11" s="7">
        <f>-SUM(C9:C10)*IndividueltKrav</f>
        <v>0</v>
      </c>
      <c r="D11" s="8" t="s">
        <v>2</v>
      </c>
      <c r="E11" s="7">
        <f>-SUM(E9:E10)*'Fane 11. Nøgletal'!F15</f>
        <v>0</v>
      </c>
      <c r="F11" s="8" t="s">
        <v>2</v>
      </c>
      <c r="G11" s="49"/>
      <c r="H11" s="12"/>
      <c r="I11" s="43"/>
    </row>
    <row r="12" spans="1:9" x14ac:dyDescent="0.25">
      <c r="A12" s="43"/>
      <c r="B12" s="33" t="s">
        <v>57</v>
      </c>
      <c r="C12" s="7">
        <f>(('Fane 2.2. Økonomisk ramme 2020'!C12/GenereltKravDrift2019-'Fane 2.2. Økonomisk ramme 2020'!C12)*(1+Prisudvikling2019)*GenereltKravDrift2019)</f>
        <v>-265916.5616958373</v>
      </c>
      <c r="D12" s="8" t="s">
        <v>2</v>
      </c>
      <c r="E12" s="7">
        <f>(('Fane 2.2. Økonomisk ramme 2020'!E12/GenereltKravDrift2019-'Fane 2.2. Økonomisk ramme 2020'!E12)*(1+Prisudvikling2019)*GenereltKravDrift2019)</f>
        <v>-330108.15637311834</v>
      </c>
      <c r="F12" s="8" t="s">
        <v>2</v>
      </c>
      <c r="G12" s="49"/>
      <c r="H12" s="12"/>
      <c r="I12" s="43"/>
    </row>
    <row r="13" spans="1:9" x14ac:dyDescent="0.25">
      <c r="A13" s="43"/>
      <c r="B13" s="33" t="s">
        <v>58</v>
      </c>
      <c r="C13" s="7">
        <f>(('Fane 2.2. Økonomisk ramme 2020'!C13/GenereltKravAnlæg2019-'Fane 2.2. Økonomisk ramme 2020'!C13)*(1+Prisudvikling2019)*GenereltKravAnlæg2019)</f>
        <v>-478395.99451365869</v>
      </c>
      <c r="D13" s="8" t="s">
        <v>2</v>
      </c>
      <c r="E13" s="7">
        <f>(('Fane 2.2. Økonomisk ramme 2020'!E13/GenereltKravAnlæg2019-'Fane 2.2. Økonomisk ramme 2020'!E13)*(1+Prisudvikling2019)*GenereltKravAnlæg2019)</f>
        <v>-61548.992113995395</v>
      </c>
      <c r="F13" s="8" t="s">
        <v>2</v>
      </c>
      <c r="G13" s="50"/>
      <c r="H13" s="13"/>
      <c r="I13" s="43"/>
    </row>
    <row r="14" spans="1:9" x14ac:dyDescent="0.25">
      <c r="A14" s="43"/>
      <c r="B14" s="18" t="s">
        <v>37</v>
      </c>
      <c r="C14" s="51">
        <f>SUM(C9:C13)</f>
        <v>67689577.425342008</v>
      </c>
      <c r="D14" s="14" t="s">
        <v>2</v>
      </c>
      <c r="E14" s="51">
        <f>SUM(E9:E13)</f>
        <v>23188347.464880917</v>
      </c>
      <c r="F14" s="14" t="s">
        <v>2</v>
      </c>
      <c r="G14" s="51">
        <f>C14+E14</f>
        <v>90877924.890222922</v>
      </c>
      <c r="H14" s="14" t="s">
        <v>2</v>
      </c>
      <c r="I14" s="43"/>
    </row>
    <row r="15" spans="1:9" x14ac:dyDescent="0.25">
      <c r="A15" s="43"/>
      <c r="B15" s="46" t="s">
        <v>70</v>
      </c>
      <c r="C15" s="48"/>
      <c r="D15" s="48"/>
      <c r="E15" s="48"/>
      <c r="F15" s="48"/>
      <c r="G15" s="48"/>
      <c r="H15" s="47"/>
      <c r="I15" s="43"/>
    </row>
    <row r="16" spans="1:9" ht="26.25" x14ac:dyDescent="0.25">
      <c r="A16" s="43"/>
      <c r="B16" s="33" t="s">
        <v>128</v>
      </c>
      <c r="C16" s="7">
        <v>0</v>
      </c>
      <c r="D16" s="8" t="s">
        <v>2</v>
      </c>
      <c r="E16" s="7">
        <v>0</v>
      </c>
      <c r="F16" s="8" t="s">
        <v>2</v>
      </c>
      <c r="G16" s="49"/>
      <c r="H16" s="12"/>
      <c r="I16" s="43"/>
    </row>
    <row r="17" spans="1:9" ht="26.25" x14ac:dyDescent="0.25">
      <c r="A17" s="43"/>
      <c r="B17" s="33" t="s">
        <v>72</v>
      </c>
      <c r="C17" s="7">
        <f>-(C16*(GenereltKravDrift2019+IndividueltKrav))</f>
        <v>0</v>
      </c>
      <c r="D17" s="8" t="s">
        <v>2</v>
      </c>
      <c r="E17" s="7">
        <f>-(E16*(GenereltKravDrift2019+IndividueltKrav))</f>
        <v>0</v>
      </c>
      <c r="F17" s="8" t="s">
        <v>2</v>
      </c>
      <c r="G17" s="49"/>
      <c r="H17" s="12"/>
      <c r="I17" s="43"/>
    </row>
    <row r="18" spans="1:9" x14ac:dyDescent="0.25">
      <c r="A18" s="43"/>
      <c r="B18" s="18" t="s">
        <v>73</v>
      </c>
      <c r="C18" s="51">
        <f>SUM(C16:C17)</f>
        <v>0</v>
      </c>
      <c r="D18" s="14" t="s">
        <v>2</v>
      </c>
      <c r="E18" s="51">
        <f>SUM(E16:E17)</f>
        <v>0</v>
      </c>
      <c r="F18" s="14" t="s">
        <v>2</v>
      </c>
      <c r="G18" s="51">
        <f>+E18</f>
        <v>0</v>
      </c>
      <c r="H18" s="14" t="s">
        <v>2</v>
      </c>
      <c r="I18" s="43"/>
    </row>
    <row r="19" spans="1:9" x14ac:dyDescent="0.25">
      <c r="A19" s="43"/>
      <c r="B19" s="46" t="s">
        <v>22</v>
      </c>
      <c r="C19" s="48"/>
      <c r="D19" s="48"/>
      <c r="E19" s="48"/>
      <c r="F19" s="48"/>
      <c r="G19" s="48"/>
      <c r="H19" s="47"/>
      <c r="I19" s="43"/>
    </row>
    <row r="20" spans="1:9" x14ac:dyDescent="0.25">
      <c r="A20" s="43"/>
      <c r="B20" s="33" t="s">
        <v>22</v>
      </c>
      <c r="C20" s="7">
        <f>'Fane 4. Ikke-påvirkelige omk.'!E14*(1+Prisudvikling2019)^2</f>
        <v>244485.89228141328</v>
      </c>
      <c r="D20" s="8" t="s">
        <v>2</v>
      </c>
      <c r="E20" s="7">
        <f>'Fane 4. Ikke-påvirkelige omk.'!E22*(1+Prisudvikling2019)^2</f>
        <v>2379575.0708512901</v>
      </c>
      <c r="F20" s="8" t="s">
        <v>2</v>
      </c>
      <c r="G20" s="49"/>
      <c r="H20" s="12"/>
      <c r="I20" s="43"/>
    </row>
    <row r="21" spans="1:9" x14ac:dyDescent="0.25">
      <c r="A21" s="43"/>
      <c r="B21" s="33" t="s">
        <v>75</v>
      </c>
      <c r="C21" s="7">
        <v>0</v>
      </c>
      <c r="D21" s="8" t="s">
        <v>2</v>
      </c>
      <c r="E21" s="7">
        <v>0</v>
      </c>
      <c r="F21" s="8" t="s">
        <v>2</v>
      </c>
      <c r="G21" s="20"/>
      <c r="H21" s="12"/>
      <c r="I21" s="43"/>
    </row>
    <row r="22" spans="1:9" x14ac:dyDescent="0.25">
      <c r="A22" s="43"/>
      <c r="B22" s="18" t="s">
        <v>76</v>
      </c>
      <c r="C22" s="51">
        <f>SUM(C20:C21)</f>
        <v>244485.89228141328</v>
      </c>
      <c r="D22" s="14" t="s">
        <v>2</v>
      </c>
      <c r="E22" s="51">
        <f>SUM(E20:E21)</f>
        <v>2379575.0708512901</v>
      </c>
      <c r="F22" s="14" t="s">
        <v>2</v>
      </c>
      <c r="G22" s="51">
        <f>+E22+C22</f>
        <v>2624060.9631327032</v>
      </c>
      <c r="H22" s="14" t="s">
        <v>2</v>
      </c>
      <c r="I22" s="43"/>
    </row>
    <row r="23" spans="1:9" ht="26.25" x14ac:dyDescent="0.25">
      <c r="A23" s="43"/>
      <c r="B23" s="46" t="s">
        <v>112</v>
      </c>
      <c r="C23" s="48"/>
      <c r="D23" s="48"/>
      <c r="E23" s="48"/>
      <c r="F23" s="48"/>
      <c r="G23" s="48"/>
      <c r="H23" s="47"/>
      <c r="I23" s="43"/>
    </row>
    <row r="24" spans="1:9" ht="26.25" x14ac:dyDescent="0.25">
      <c r="A24" s="43"/>
      <c r="B24" s="18" t="s">
        <v>104</v>
      </c>
      <c r="C24" s="51">
        <f>'Fane 2.2. Økonomisk ramme 2020'!C26*(1+Prisudvikling2019)</f>
        <v>0</v>
      </c>
      <c r="D24" s="14" t="s">
        <v>2</v>
      </c>
      <c r="E24" s="51">
        <f>'Fane 2.2. Økonomisk ramme 2020'!E26*(1+Prisudvikling2019)</f>
        <v>0</v>
      </c>
      <c r="F24" s="14" t="s">
        <v>2</v>
      </c>
      <c r="G24" s="51">
        <f>+E24</f>
        <v>0</v>
      </c>
      <c r="H24" s="14" t="s">
        <v>2</v>
      </c>
      <c r="I24" s="43"/>
    </row>
    <row r="25" spans="1:9" ht="26.25" x14ac:dyDescent="0.25">
      <c r="A25" s="43"/>
      <c r="B25" s="46" t="s">
        <v>64</v>
      </c>
      <c r="C25" s="48"/>
      <c r="D25" s="47"/>
      <c r="E25" s="47"/>
      <c r="F25" s="47"/>
      <c r="G25" s="22">
        <f>SUM(G14,G18,G22,G24)</f>
        <v>93501985.853355631</v>
      </c>
      <c r="H25" s="23" t="s">
        <v>2</v>
      </c>
      <c r="I25" s="43"/>
    </row>
    <row r="26" spans="1:9" x14ac:dyDescent="0.25">
      <c r="A26" s="43"/>
      <c r="B26" s="43"/>
      <c r="C26" s="43"/>
      <c r="D26" s="43"/>
      <c r="E26" s="43"/>
      <c r="F26" s="43"/>
      <c r="G26" s="43"/>
      <c r="H26" s="43"/>
      <c r="I26" s="43"/>
    </row>
    <row r="27" spans="1:9" x14ac:dyDescent="0.25">
      <c r="A27" s="43"/>
      <c r="B27" s="43"/>
      <c r="C27" s="43"/>
      <c r="D27" s="43"/>
      <c r="E27" s="43"/>
      <c r="F27" s="43"/>
      <c r="G27" s="43"/>
      <c r="H27" s="43"/>
      <c r="I27" s="43"/>
    </row>
    <row r="28" spans="1:9" x14ac:dyDescent="0.25">
      <c r="A28" s="43"/>
      <c r="B28" s="43"/>
      <c r="C28" s="43"/>
      <c r="D28" s="43"/>
      <c r="E28" s="43"/>
      <c r="F28" s="43"/>
      <c r="G28" s="43"/>
      <c r="H28" s="43"/>
      <c r="I28" s="43"/>
    </row>
    <row r="29" spans="1:9" x14ac:dyDescent="0.25">
      <c r="A29" s="43"/>
      <c r="B29" s="43"/>
      <c r="C29" s="43"/>
      <c r="D29" s="43"/>
      <c r="E29" s="43"/>
      <c r="F29" s="43"/>
      <c r="G29" s="43"/>
      <c r="H29" s="43"/>
      <c r="I29" s="43"/>
    </row>
    <row r="30" spans="1:9" x14ac:dyDescent="0.25">
      <c r="A30" s="43"/>
      <c r="B30" s="43"/>
      <c r="C30" s="43"/>
      <c r="D30" s="43"/>
      <c r="E30" s="43"/>
      <c r="F30" s="43"/>
      <c r="G30" s="43"/>
      <c r="H30" s="43"/>
      <c r="I30" s="43"/>
    </row>
    <row r="31" spans="1:9" x14ac:dyDescent="0.25">
      <c r="A31" s="43"/>
      <c r="B31" s="43"/>
      <c r="C31" s="43"/>
      <c r="D31" s="43"/>
      <c r="E31" s="43"/>
      <c r="F31" s="43"/>
      <c r="G31" s="43"/>
      <c r="H31" s="43"/>
      <c r="I31" s="43"/>
    </row>
    <row r="32" spans="1:9" x14ac:dyDescent="0.25">
      <c r="A32" s="43"/>
      <c r="B32" s="43"/>
      <c r="C32" s="43"/>
      <c r="D32" s="43"/>
      <c r="E32" s="43"/>
      <c r="F32" s="43"/>
      <c r="G32" s="43"/>
      <c r="H32" s="43"/>
      <c r="I32" s="43"/>
    </row>
    <row r="33" spans="1:9" x14ac:dyDescent="0.25">
      <c r="A33" s="43"/>
      <c r="B33" s="43"/>
      <c r="C33" s="43"/>
      <c r="D33" s="43"/>
      <c r="E33" s="43"/>
      <c r="F33" s="43"/>
      <c r="G33" s="43"/>
      <c r="H33" s="43"/>
      <c r="I33" s="43"/>
    </row>
    <row r="34" spans="1:9" x14ac:dyDescent="0.25">
      <c r="A34" s="43"/>
      <c r="B34" s="43"/>
      <c r="C34" s="43"/>
      <c r="D34" s="43"/>
      <c r="E34" s="43"/>
      <c r="F34" s="43"/>
      <c r="G34" s="43"/>
      <c r="H34" s="43"/>
      <c r="I34" s="43"/>
    </row>
    <row r="35" spans="1:9" x14ac:dyDescent="0.25">
      <c r="A35" s="43"/>
      <c r="B35" s="43"/>
      <c r="C35" s="43"/>
      <c r="D35" s="43"/>
      <c r="E35" s="43"/>
      <c r="F35" s="43"/>
      <c r="G35" s="43"/>
      <c r="H35" s="43"/>
      <c r="I35" s="43"/>
    </row>
    <row r="36" spans="1:9" x14ac:dyDescent="0.25">
      <c r="A36" s="43"/>
      <c r="B36" s="43"/>
      <c r="C36" s="43"/>
      <c r="D36" s="43"/>
      <c r="E36" s="43"/>
      <c r="F36" s="43"/>
      <c r="G36" s="43"/>
      <c r="H36" s="43"/>
      <c r="I36" s="43"/>
    </row>
    <row r="37" spans="1:9" x14ac:dyDescent="0.25">
      <c r="A37" s="43"/>
      <c r="B37" s="43"/>
      <c r="C37" s="43"/>
      <c r="D37" s="43"/>
      <c r="E37" s="43"/>
      <c r="F37" s="43"/>
      <c r="G37" s="43"/>
      <c r="H37" s="43"/>
      <c r="I37" s="43"/>
    </row>
    <row r="38" spans="1:9" x14ac:dyDescent="0.25">
      <c r="A38" s="43"/>
      <c r="B38" s="43"/>
      <c r="C38" s="43"/>
      <c r="D38" s="43"/>
      <c r="E38" s="43"/>
      <c r="F38" s="43"/>
      <c r="G38" s="43"/>
      <c r="H38" s="43"/>
      <c r="I38" s="43"/>
    </row>
    <row r="39" spans="1:9" x14ac:dyDescent="0.25">
      <c r="A39" s="43"/>
      <c r="B39" s="43"/>
      <c r="C39" s="43"/>
      <c r="D39" s="43"/>
      <c r="E39" s="43"/>
      <c r="F39" s="43"/>
      <c r="G39" s="43"/>
      <c r="H39" s="43"/>
      <c r="I39" s="43"/>
    </row>
    <row r="40" spans="1:9" x14ac:dyDescent="0.25">
      <c r="A40" s="43"/>
      <c r="B40" s="43"/>
      <c r="C40" s="43"/>
      <c r="D40" s="43"/>
      <c r="E40" s="43"/>
      <c r="F40" s="43"/>
      <c r="G40" s="43"/>
      <c r="H40" s="43"/>
      <c r="I40" s="43"/>
    </row>
    <row r="41" spans="1:9" x14ac:dyDescent="0.25">
      <c r="A41" s="43"/>
      <c r="B41" s="43"/>
      <c r="C41" s="43"/>
      <c r="D41" s="43"/>
      <c r="E41" s="43"/>
      <c r="F41" s="43"/>
      <c r="G41" s="43"/>
      <c r="H41" s="43"/>
      <c r="I41" s="43"/>
    </row>
    <row r="42" spans="1:9" x14ac:dyDescent="0.25">
      <c r="A42" s="43"/>
      <c r="B42" s="43"/>
      <c r="C42" s="43"/>
      <c r="D42" s="43"/>
      <c r="E42" s="43"/>
      <c r="F42" s="43"/>
      <c r="G42" s="43"/>
      <c r="H42" s="43"/>
      <c r="I42" s="43"/>
    </row>
    <row r="43" spans="1:9" x14ac:dyDescent="0.25">
      <c r="A43" s="43"/>
      <c r="B43" s="43"/>
      <c r="C43" s="43"/>
      <c r="D43" s="43"/>
      <c r="E43" s="43"/>
      <c r="F43" s="43"/>
      <c r="G43" s="43"/>
      <c r="H43" s="43"/>
      <c r="I43" s="43"/>
    </row>
    <row r="44" spans="1:9" x14ac:dyDescent="0.25">
      <c r="A44" s="43"/>
      <c r="B44" s="43"/>
      <c r="C44" s="43"/>
      <c r="D44" s="43"/>
      <c r="E44" s="43"/>
      <c r="F44" s="43"/>
      <c r="G44" s="43"/>
      <c r="H44" s="43"/>
      <c r="I44" s="43"/>
    </row>
    <row r="45" spans="1:9" x14ac:dyDescent="0.25">
      <c r="A45" s="43"/>
      <c r="B45" s="43"/>
      <c r="C45" s="43"/>
      <c r="D45" s="43"/>
      <c r="E45" s="43"/>
      <c r="F45" s="43"/>
      <c r="G45" s="43"/>
      <c r="H45" s="43"/>
      <c r="I45" s="43"/>
    </row>
    <row r="46" spans="1:9" x14ac:dyDescent="0.25">
      <c r="A46" s="43"/>
      <c r="B46" s="43"/>
      <c r="C46" s="43"/>
      <c r="D46" s="43"/>
      <c r="E46" s="43"/>
      <c r="F46" s="43"/>
      <c r="G46" s="43"/>
      <c r="H46" s="43"/>
      <c r="I46" s="43"/>
    </row>
    <row r="47" spans="1:9" x14ac:dyDescent="0.25">
      <c r="A47" s="43"/>
      <c r="B47" s="43"/>
      <c r="C47" s="43"/>
      <c r="D47" s="43"/>
      <c r="E47" s="43"/>
      <c r="F47" s="43"/>
      <c r="G47" s="43"/>
      <c r="H47" s="43"/>
      <c r="I47" s="43"/>
    </row>
  </sheetData>
  <sheetProtection algorithmName="SHA-512" hashValue="ZCHg4OS/5yuTNC9evVQERyxEc9Q/4UtRZ9xTJWl6JJEInW7gsVk4nA4o3OLt6s3furvM9IJz378L57IM8qcGsQ==" saltValue="NXHffjpClojvrZ4xnwDy9w==" spinCount="100000" sheet="1" objects="1" scenarios="1"/>
  <mergeCells count="2">
    <mergeCell ref="B3:H4"/>
    <mergeCell ref="B5:H5"/>
  </mergeCells>
  <pageMargins left="0.25694444444444442" right="0.4861111111111111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47"/>
  <sheetViews>
    <sheetView showGridLines="0" view="pageLayout" topLeftCell="A7" zoomScaleNormal="100" workbookViewId="0">
      <selection activeCell="G22" sqref="G22"/>
    </sheetView>
  </sheetViews>
  <sheetFormatPr defaultColWidth="9.140625" defaultRowHeight="15" x14ac:dyDescent="0.25"/>
  <cols>
    <col min="1" max="1" width="2.7109375" style="44" customWidth="1"/>
    <col min="2" max="2" width="31.140625" style="44" customWidth="1"/>
    <col min="3" max="3" width="19.5703125" style="44" customWidth="1"/>
    <col min="4" max="4" width="3.28515625" style="44" customWidth="1"/>
    <col min="5" max="5" width="14.7109375" style="44" customWidth="1"/>
    <col min="6" max="6" width="3.28515625" style="44" customWidth="1"/>
    <col min="7" max="7" width="10.7109375" style="44" customWidth="1"/>
    <col min="8" max="8" width="3.28515625" style="44" customWidth="1"/>
    <col min="9" max="9" width="2.7109375" style="44" customWidth="1"/>
    <col min="10" max="16384" width="9.140625" style="44"/>
  </cols>
  <sheetData>
    <row r="1" spans="1:9" x14ac:dyDescent="0.25">
      <c r="A1" s="43"/>
      <c r="B1" s="43"/>
      <c r="C1" s="43"/>
      <c r="D1" s="43"/>
      <c r="E1" s="43"/>
      <c r="F1" s="43"/>
      <c r="G1" s="43"/>
      <c r="H1" s="43"/>
      <c r="I1" s="43"/>
    </row>
    <row r="2" spans="1:9" x14ac:dyDescent="0.25">
      <c r="A2" s="43"/>
      <c r="B2" s="43"/>
      <c r="C2" s="43"/>
      <c r="D2" s="43"/>
      <c r="E2" s="43"/>
      <c r="F2" s="43"/>
      <c r="G2" s="43"/>
      <c r="H2" s="43"/>
      <c r="I2" s="43"/>
    </row>
    <row r="3" spans="1:9" x14ac:dyDescent="0.25">
      <c r="A3" s="43"/>
      <c r="B3" s="88" t="s">
        <v>88</v>
      </c>
      <c r="C3" s="88"/>
      <c r="D3" s="88"/>
      <c r="E3" s="88"/>
      <c r="F3" s="88"/>
      <c r="G3" s="88"/>
      <c r="H3" s="88"/>
      <c r="I3" s="43"/>
    </row>
    <row r="4" spans="1:9" x14ac:dyDescent="0.25">
      <c r="A4" s="43"/>
      <c r="B4" s="88"/>
      <c r="C4" s="88"/>
      <c r="D4" s="88"/>
      <c r="E4" s="88"/>
      <c r="F4" s="88"/>
      <c r="G4" s="88"/>
      <c r="H4" s="88"/>
      <c r="I4" s="43"/>
    </row>
    <row r="5" spans="1:9" x14ac:dyDescent="0.25">
      <c r="A5" s="43"/>
      <c r="B5" s="89" t="s">
        <v>40</v>
      </c>
      <c r="C5" s="89"/>
      <c r="D5" s="89"/>
      <c r="E5" s="89"/>
      <c r="F5" s="89"/>
      <c r="G5" s="89"/>
      <c r="H5" s="89"/>
      <c r="I5" s="43"/>
    </row>
    <row r="6" spans="1:9" x14ac:dyDescent="0.25">
      <c r="A6" s="43"/>
      <c r="B6" s="43"/>
      <c r="C6" s="43"/>
      <c r="D6" s="43"/>
      <c r="E6" s="43"/>
      <c r="F6" s="43"/>
      <c r="G6" s="43"/>
      <c r="H6" s="43"/>
      <c r="I6" s="43"/>
    </row>
    <row r="7" spans="1:9" ht="26.25" x14ac:dyDescent="0.25">
      <c r="A7" s="43"/>
      <c r="B7" s="46" t="s">
        <v>25</v>
      </c>
      <c r="C7" s="46" t="s">
        <v>149</v>
      </c>
      <c r="D7" s="47"/>
      <c r="E7" s="46" t="s">
        <v>150</v>
      </c>
      <c r="F7" s="47"/>
      <c r="G7" s="48" t="s">
        <v>141</v>
      </c>
      <c r="H7" s="47"/>
      <c r="I7" s="43"/>
    </row>
    <row r="8" spans="1:9" ht="26.25" x14ac:dyDescent="0.25">
      <c r="A8" s="43"/>
      <c r="B8" s="32" t="s">
        <v>55</v>
      </c>
      <c r="C8" s="7">
        <f>+'Fane 2.3. Økonomisk ramme 2021'!C14</f>
        <v>67689577.425342008</v>
      </c>
      <c r="D8" s="8" t="s">
        <v>2</v>
      </c>
      <c r="E8" s="7">
        <f>+'Fane 2.3. Økonomisk ramme 2021'!E14</f>
        <v>23188347.464880917</v>
      </c>
      <c r="F8" s="8" t="s">
        <v>2</v>
      </c>
      <c r="G8" s="9"/>
      <c r="H8" s="10"/>
      <c r="I8" s="43"/>
    </row>
    <row r="9" spans="1:9" x14ac:dyDescent="0.25">
      <c r="A9" s="43"/>
      <c r="B9" s="33" t="s">
        <v>35</v>
      </c>
      <c r="C9" s="7">
        <f>C8*Prisudvikling2019</f>
        <v>1143953.8584882799</v>
      </c>
      <c r="D9" s="8" t="s">
        <v>2</v>
      </c>
      <c r="E9" s="7">
        <f>E8*Prisudvikling2019</f>
        <v>391883.07215648744</v>
      </c>
      <c r="F9" s="8" t="s">
        <v>2</v>
      </c>
      <c r="G9" s="49"/>
      <c r="H9" s="12"/>
      <c r="I9" s="43"/>
    </row>
    <row r="10" spans="1:9" x14ac:dyDescent="0.25">
      <c r="A10" s="43"/>
      <c r="B10" s="33" t="s">
        <v>13</v>
      </c>
      <c r="C10" s="7">
        <f>-SUM(C8:C9)*IndividueltKrav</f>
        <v>0</v>
      </c>
      <c r="D10" s="8" t="s">
        <v>2</v>
      </c>
      <c r="E10" s="7">
        <f>-SUM(E8:E9)*'Fane 11. Nøgletal'!F15</f>
        <v>0</v>
      </c>
      <c r="F10" s="8" t="s">
        <v>2</v>
      </c>
      <c r="G10" s="49"/>
      <c r="H10" s="12"/>
      <c r="I10" s="43"/>
    </row>
    <row r="11" spans="1:9" x14ac:dyDescent="0.25">
      <c r="A11" s="43"/>
      <c r="B11" s="33" t="s">
        <v>57</v>
      </c>
      <c r="C11" s="7">
        <f>('Fane 2.3. Økonomisk ramme 2021'!C12/GenereltKravDrift2019-'Fane 2.3. Økonomisk ramme 2021'!C12)*(1+Prisudvikling2019)*GenereltKravDrift2019</f>
        <v>-265002.34055672702</v>
      </c>
      <c r="D11" s="8" t="s">
        <v>2</v>
      </c>
      <c r="E11" s="7">
        <f>('Fane 2.3. Økonomisk ramme 2021'!E12/GenereltKravDrift2019-'Fane 2.3. Økonomisk ramme 2021'!E12)*(1+Prisudvikling2019)*GenereltKravDrift2019</f>
        <v>-328973.24453150755</v>
      </c>
      <c r="F11" s="8" t="s">
        <v>2</v>
      </c>
      <c r="G11" s="20"/>
      <c r="H11" s="12"/>
      <c r="I11" s="43"/>
    </row>
    <row r="12" spans="1:9" x14ac:dyDescent="0.25">
      <c r="A12" s="43"/>
      <c r="B12" s="33" t="s">
        <v>58</v>
      </c>
      <c r="C12" s="7">
        <f>('Fane 2.3. Økonomisk ramme 2021'!C13/GenereltKravAnlæg2019-'Fane 2.3. Økonomisk ramme 2021'!C13)*(1+Prisudvikling2019)*GenereltKravAnlæg2019</f>
        <v>-482248.50310559734</v>
      </c>
      <c r="D12" s="8" t="s">
        <v>2</v>
      </c>
      <c r="E12" s="7">
        <f>('Fane 2.3. Økonomisk ramme 2021'!E13/GenereltKravAnlæg2019-'Fane 2.3. Økonomisk ramme 2021'!E13)*(1+Prisudvikling2019)*GenereltKravAnlæg2019</f>
        <v>-62044.644301019638</v>
      </c>
      <c r="F12" s="8" t="s">
        <v>2</v>
      </c>
      <c r="G12" s="50"/>
      <c r="H12" s="13"/>
      <c r="I12" s="43"/>
    </row>
    <row r="13" spans="1:9" x14ac:dyDescent="0.25">
      <c r="A13" s="43"/>
      <c r="B13" s="18" t="s">
        <v>37</v>
      </c>
      <c r="C13" s="51">
        <f>SUM(C8:C12)</f>
        <v>68086280.440167964</v>
      </c>
      <c r="D13" s="14" t="s">
        <v>2</v>
      </c>
      <c r="E13" s="51">
        <f>SUM(E8:E12)</f>
        <v>23189212.648204878</v>
      </c>
      <c r="F13" s="14" t="s">
        <v>2</v>
      </c>
      <c r="G13" s="51">
        <f>C13+E13</f>
        <v>91275493.088372841</v>
      </c>
      <c r="H13" s="14" t="s">
        <v>2</v>
      </c>
      <c r="I13" s="43"/>
    </row>
    <row r="14" spans="1:9" x14ac:dyDescent="0.25">
      <c r="A14" s="43"/>
      <c r="B14" s="46" t="s">
        <v>70</v>
      </c>
      <c r="C14" s="48"/>
      <c r="D14" s="48"/>
      <c r="E14" s="48"/>
      <c r="F14" s="48"/>
      <c r="G14" s="48"/>
      <c r="H14" s="47"/>
      <c r="I14" s="43"/>
    </row>
    <row r="15" spans="1:9" ht="26.25" x14ac:dyDescent="0.25">
      <c r="A15" s="43"/>
      <c r="B15" s="33" t="s">
        <v>128</v>
      </c>
      <c r="C15" s="7">
        <v>0</v>
      </c>
      <c r="D15" s="8" t="s">
        <v>2</v>
      </c>
      <c r="E15" s="7">
        <v>0</v>
      </c>
      <c r="F15" s="8" t="s">
        <v>2</v>
      </c>
      <c r="G15" s="49"/>
      <c r="H15" s="12"/>
      <c r="I15" s="43"/>
    </row>
    <row r="16" spans="1:9" ht="26.25" x14ac:dyDescent="0.25">
      <c r="A16" s="43"/>
      <c r="B16" s="33" t="s">
        <v>72</v>
      </c>
      <c r="C16" s="7">
        <f>-(C15*(GenereltKravDrift2019+IndividueltKrav))</f>
        <v>0</v>
      </c>
      <c r="D16" s="8" t="s">
        <v>2</v>
      </c>
      <c r="E16" s="7">
        <f>-(E15*(GenereltKravDrift2019+IndividueltKrav))</f>
        <v>0</v>
      </c>
      <c r="F16" s="8" t="s">
        <v>2</v>
      </c>
      <c r="G16" s="49"/>
      <c r="H16" s="12"/>
      <c r="I16" s="43"/>
    </row>
    <row r="17" spans="1:9" x14ac:dyDescent="0.25">
      <c r="A17" s="43"/>
      <c r="B17" s="18" t="s">
        <v>73</v>
      </c>
      <c r="C17" s="51">
        <f>SUM(C15:C16)</f>
        <v>0</v>
      </c>
      <c r="D17" s="14" t="s">
        <v>2</v>
      </c>
      <c r="E17" s="51">
        <f>SUM(E15:E16)</f>
        <v>0</v>
      </c>
      <c r="F17" s="14" t="s">
        <v>2</v>
      </c>
      <c r="G17" s="51">
        <f>C17+E17</f>
        <v>0</v>
      </c>
      <c r="H17" s="14" t="s">
        <v>2</v>
      </c>
      <c r="I17" s="43"/>
    </row>
    <row r="18" spans="1:9" x14ac:dyDescent="0.25">
      <c r="A18" s="43"/>
      <c r="B18" s="46" t="s">
        <v>22</v>
      </c>
      <c r="C18" s="48"/>
      <c r="D18" s="48"/>
      <c r="E18" s="48"/>
      <c r="F18" s="48"/>
      <c r="G18" s="48"/>
      <c r="H18" s="47"/>
      <c r="I18" s="43"/>
    </row>
    <row r="19" spans="1:9" x14ac:dyDescent="0.25">
      <c r="A19" s="43"/>
      <c r="B19" s="33" t="s">
        <v>22</v>
      </c>
      <c r="C19" s="7">
        <f>'Fane 4. Ikke-påvirkelige omk.'!E14*(1+Prisudvikling2019)^3</f>
        <v>248617.70386096914</v>
      </c>
      <c r="D19" s="8" t="s">
        <v>2</v>
      </c>
      <c r="E19" s="7">
        <f>'Fane 4. Ikke-påvirkelige omk.'!E22*(1+Prisudvikling2019)^3</f>
        <v>2419789.8895486766</v>
      </c>
      <c r="F19" s="8" t="s">
        <v>2</v>
      </c>
      <c r="G19" s="49"/>
      <c r="H19" s="12"/>
      <c r="I19" s="43"/>
    </row>
    <row r="20" spans="1:9" x14ac:dyDescent="0.25">
      <c r="A20" s="43"/>
      <c r="B20" s="33" t="s">
        <v>75</v>
      </c>
      <c r="C20" s="7">
        <v>0</v>
      </c>
      <c r="D20" s="8" t="s">
        <v>2</v>
      </c>
      <c r="E20" s="7">
        <v>0</v>
      </c>
      <c r="F20" s="8" t="s">
        <v>2</v>
      </c>
      <c r="G20" s="20"/>
      <c r="H20" s="12"/>
      <c r="I20" s="43"/>
    </row>
    <row r="21" spans="1:9" x14ac:dyDescent="0.25">
      <c r="A21" s="43"/>
      <c r="B21" s="18" t="s">
        <v>76</v>
      </c>
      <c r="C21" s="51">
        <f>SUM(C19:C20)</f>
        <v>248617.70386096914</v>
      </c>
      <c r="D21" s="14" t="s">
        <v>2</v>
      </c>
      <c r="E21" s="51">
        <f>SUM(E19:E20)</f>
        <v>2419789.8895486766</v>
      </c>
      <c r="F21" s="14" t="s">
        <v>2</v>
      </c>
      <c r="G21" s="51">
        <f>C21+E21</f>
        <v>2668407.5934096458</v>
      </c>
      <c r="H21" s="14" t="s">
        <v>2</v>
      </c>
      <c r="I21" s="43"/>
    </row>
    <row r="22" spans="1:9" ht="26.25" x14ac:dyDescent="0.25">
      <c r="A22" s="43"/>
      <c r="B22" s="46" t="s">
        <v>74</v>
      </c>
      <c r="C22" s="48"/>
      <c r="D22" s="47"/>
      <c r="E22" s="47"/>
      <c r="F22" s="47"/>
      <c r="G22" s="22">
        <f>SUM(G13,G17,G21)</f>
        <v>93943900.681782484</v>
      </c>
      <c r="H22" s="23" t="s">
        <v>2</v>
      </c>
      <c r="I22" s="43"/>
    </row>
    <row r="23" spans="1:9" x14ac:dyDescent="0.25">
      <c r="A23" s="43"/>
      <c r="B23" s="43"/>
      <c r="C23" s="43"/>
      <c r="D23" s="43"/>
      <c r="E23" s="43"/>
      <c r="F23" s="43"/>
      <c r="G23" s="43"/>
      <c r="H23" s="43"/>
      <c r="I23" s="43"/>
    </row>
    <row r="24" spans="1:9" x14ac:dyDescent="0.25">
      <c r="A24" s="43"/>
      <c r="B24" s="43"/>
      <c r="C24" s="43"/>
      <c r="D24" s="43"/>
      <c r="E24" s="43"/>
      <c r="F24" s="43"/>
      <c r="G24" s="43"/>
      <c r="H24" s="43"/>
      <c r="I24" s="43"/>
    </row>
    <row r="25" spans="1:9" x14ac:dyDescent="0.25">
      <c r="A25" s="43"/>
      <c r="B25" s="43"/>
      <c r="C25" s="43"/>
      <c r="D25" s="43"/>
      <c r="E25" s="43"/>
      <c r="F25" s="43"/>
      <c r="G25" s="43"/>
      <c r="H25" s="43"/>
      <c r="I25" s="43"/>
    </row>
    <row r="26" spans="1:9" x14ac:dyDescent="0.25">
      <c r="A26" s="43"/>
      <c r="B26" s="43"/>
      <c r="C26" s="43"/>
      <c r="D26" s="43"/>
      <c r="E26" s="43"/>
      <c r="F26" s="43"/>
      <c r="G26" s="43"/>
      <c r="H26" s="43"/>
      <c r="I26" s="43"/>
    </row>
    <row r="27" spans="1:9" x14ac:dyDescent="0.25">
      <c r="A27" s="43"/>
      <c r="B27" s="43"/>
      <c r="C27" s="43"/>
      <c r="D27" s="43"/>
      <c r="E27" s="43"/>
      <c r="F27" s="43"/>
      <c r="G27" s="43"/>
      <c r="H27" s="43"/>
      <c r="I27" s="43"/>
    </row>
    <row r="28" spans="1:9" x14ac:dyDescent="0.25">
      <c r="A28" s="43"/>
      <c r="B28" s="43"/>
      <c r="C28" s="43"/>
      <c r="D28" s="43"/>
      <c r="E28" s="43"/>
      <c r="F28" s="43"/>
      <c r="G28" s="43"/>
      <c r="H28" s="43"/>
      <c r="I28" s="43"/>
    </row>
    <row r="29" spans="1:9" x14ac:dyDescent="0.25">
      <c r="A29" s="43"/>
      <c r="B29" s="43"/>
      <c r="C29" s="43"/>
      <c r="D29" s="43"/>
      <c r="E29" s="43"/>
      <c r="F29" s="43"/>
      <c r="G29" s="43"/>
      <c r="H29" s="43"/>
      <c r="I29" s="43"/>
    </row>
    <row r="30" spans="1:9" x14ac:dyDescent="0.25">
      <c r="A30" s="43"/>
      <c r="B30" s="43"/>
      <c r="C30" s="43"/>
      <c r="D30" s="43"/>
      <c r="E30" s="43"/>
      <c r="F30" s="43"/>
      <c r="G30" s="43"/>
      <c r="H30" s="43"/>
      <c r="I30" s="43"/>
    </row>
    <row r="31" spans="1:9" x14ac:dyDescent="0.25">
      <c r="A31" s="43"/>
      <c r="B31" s="43"/>
      <c r="C31" s="43"/>
      <c r="D31" s="43"/>
      <c r="E31" s="43"/>
      <c r="F31" s="43"/>
      <c r="G31" s="43"/>
      <c r="H31" s="43"/>
      <c r="I31" s="43"/>
    </row>
    <row r="32" spans="1:9" x14ac:dyDescent="0.25">
      <c r="A32" s="43"/>
      <c r="B32" s="43"/>
      <c r="C32" s="43"/>
      <c r="D32" s="43"/>
      <c r="E32" s="43"/>
      <c r="F32" s="43"/>
      <c r="G32" s="43"/>
      <c r="H32" s="43"/>
      <c r="I32" s="43"/>
    </row>
    <row r="33" spans="1:9" x14ac:dyDescent="0.25">
      <c r="A33" s="43"/>
      <c r="B33" s="43"/>
      <c r="C33" s="43"/>
      <c r="D33" s="43"/>
      <c r="E33" s="43"/>
      <c r="F33" s="43"/>
      <c r="G33" s="43"/>
      <c r="H33" s="43"/>
      <c r="I33" s="43"/>
    </row>
    <row r="34" spans="1:9" x14ac:dyDescent="0.25">
      <c r="A34" s="43"/>
      <c r="B34" s="43"/>
      <c r="C34" s="43"/>
      <c r="D34" s="43"/>
      <c r="E34" s="43"/>
      <c r="F34" s="43"/>
      <c r="G34" s="43"/>
      <c r="H34" s="43"/>
      <c r="I34" s="43"/>
    </row>
    <row r="35" spans="1:9" x14ac:dyDescent="0.25">
      <c r="A35" s="43"/>
      <c r="B35" s="43"/>
      <c r="C35" s="43"/>
      <c r="D35" s="43"/>
      <c r="E35" s="43"/>
      <c r="F35" s="43"/>
      <c r="G35" s="43"/>
      <c r="H35" s="43"/>
      <c r="I35" s="43"/>
    </row>
    <row r="36" spans="1:9" x14ac:dyDescent="0.25">
      <c r="A36" s="43"/>
      <c r="B36" s="43"/>
      <c r="C36" s="43"/>
      <c r="D36" s="43"/>
      <c r="E36" s="43"/>
      <c r="F36" s="43"/>
      <c r="G36" s="43"/>
      <c r="H36" s="43"/>
      <c r="I36" s="43"/>
    </row>
    <row r="37" spans="1:9" x14ac:dyDescent="0.25">
      <c r="A37" s="43"/>
      <c r="B37" s="43"/>
      <c r="C37" s="43"/>
      <c r="D37" s="43"/>
      <c r="E37" s="43"/>
      <c r="F37" s="43"/>
      <c r="G37" s="43"/>
      <c r="H37" s="43"/>
      <c r="I37" s="43"/>
    </row>
    <row r="38" spans="1:9" x14ac:dyDescent="0.25">
      <c r="A38" s="43"/>
      <c r="B38" s="43"/>
      <c r="C38" s="43"/>
      <c r="D38" s="43"/>
      <c r="E38" s="43"/>
      <c r="F38" s="43"/>
      <c r="G38" s="43"/>
      <c r="H38" s="43"/>
      <c r="I38" s="43"/>
    </row>
    <row r="39" spans="1:9" x14ac:dyDescent="0.25">
      <c r="A39" s="43"/>
      <c r="B39" s="43"/>
      <c r="C39" s="43"/>
      <c r="D39" s="43"/>
      <c r="E39" s="43"/>
      <c r="F39" s="43"/>
      <c r="G39" s="43"/>
      <c r="H39" s="43"/>
      <c r="I39" s="43"/>
    </row>
    <row r="40" spans="1:9" x14ac:dyDescent="0.25">
      <c r="A40" s="43"/>
      <c r="B40" s="43"/>
      <c r="C40" s="43"/>
      <c r="D40" s="43"/>
      <c r="E40" s="43"/>
      <c r="F40" s="43"/>
      <c r="G40" s="43"/>
      <c r="H40" s="43"/>
      <c r="I40" s="43"/>
    </row>
    <row r="41" spans="1:9" x14ac:dyDescent="0.25">
      <c r="A41" s="43"/>
      <c r="B41" s="43"/>
      <c r="C41" s="43"/>
      <c r="D41" s="43"/>
      <c r="E41" s="43"/>
      <c r="F41" s="43"/>
      <c r="G41" s="43"/>
      <c r="H41" s="43"/>
      <c r="I41" s="43"/>
    </row>
    <row r="42" spans="1:9" x14ac:dyDescent="0.25">
      <c r="A42" s="43"/>
      <c r="B42" s="43"/>
      <c r="C42" s="43"/>
      <c r="D42" s="43"/>
      <c r="E42" s="43"/>
      <c r="F42" s="43"/>
      <c r="G42" s="43"/>
      <c r="H42" s="43"/>
      <c r="I42" s="43"/>
    </row>
    <row r="43" spans="1:9" x14ac:dyDescent="0.25">
      <c r="A43" s="43"/>
      <c r="B43" s="43"/>
      <c r="C43" s="43"/>
      <c r="D43" s="43"/>
      <c r="E43" s="43"/>
      <c r="F43" s="43"/>
      <c r="G43" s="43"/>
      <c r="H43" s="43"/>
      <c r="I43" s="43"/>
    </row>
    <row r="44" spans="1:9" x14ac:dyDescent="0.25">
      <c r="A44" s="43"/>
      <c r="B44" s="43"/>
      <c r="C44" s="43"/>
      <c r="D44" s="43"/>
      <c r="E44" s="43"/>
      <c r="F44" s="43"/>
      <c r="G44" s="43"/>
      <c r="H44" s="43"/>
      <c r="I44" s="43"/>
    </row>
    <row r="45" spans="1:9" x14ac:dyDescent="0.25">
      <c r="A45" s="43"/>
      <c r="B45" s="43"/>
      <c r="C45" s="43"/>
      <c r="D45" s="43"/>
      <c r="E45" s="43"/>
      <c r="F45" s="43"/>
      <c r="G45" s="43"/>
      <c r="H45" s="43"/>
      <c r="I45" s="43"/>
    </row>
    <row r="46" spans="1:9" x14ac:dyDescent="0.25">
      <c r="A46" s="43"/>
      <c r="B46" s="43"/>
      <c r="C46" s="43"/>
      <c r="D46" s="43"/>
      <c r="E46" s="43"/>
      <c r="F46" s="43"/>
      <c r="G46" s="43"/>
      <c r="H46" s="43"/>
      <c r="I46" s="43"/>
    </row>
    <row r="47" spans="1:9" x14ac:dyDescent="0.25">
      <c r="A47" s="43"/>
      <c r="B47" s="43"/>
      <c r="C47" s="43"/>
      <c r="D47" s="43"/>
      <c r="E47" s="43"/>
      <c r="F47" s="43"/>
      <c r="G47" s="43"/>
      <c r="H47" s="43"/>
      <c r="I47" s="43"/>
    </row>
  </sheetData>
  <sheetProtection algorithmName="SHA-512" hashValue="VhHUn+18JeYDRMHDueoHgPXILBuZ72DDinuB8n1XrLGHVRRGaZIC7Uhpuixg/qlakf19JtLG/SlhC+6KUMkAZw==" saltValue="RVIPF5kZc27NhJNaWHBGZg==" spinCount="100000" sheet="1" objects="1" scenarios="1"/>
  <mergeCells count="2">
    <mergeCell ref="B3:H4"/>
    <mergeCell ref="B5:H5"/>
  </mergeCells>
  <pageMargins left="0.35416666666666669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N48"/>
  <sheetViews>
    <sheetView showGridLines="0" view="pageLayout" topLeftCell="A2" zoomScaleNormal="100" workbookViewId="0">
      <selection activeCell="B13" sqref="B13:G13"/>
    </sheetView>
  </sheetViews>
  <sheetFormatPr defaultColWidth="9.140625" defaultRowHeight="15" x14ac:dyDescent="0.25"/>
  <cols>
    <col min="1" max="1" width="4.140625" style="44" customWidth="1"/>
    <col min="2" max="2" width="22.140625" style="44" customWidth="1"/>
    <col min="3" max="3" width="0" style="44" hidden="1" customWidth="1"/>
    <col min="4" max="4" width="15.140625" style="44" hidden="1" customWidth="1"/>
    <col min="5" max="5" width="0" style="44" hidden="1" customWidth="1"/>
    <col min="6" max="6" width="14.28515625" style="44" hidden="1" customWidth="1"/>
    <col min="7" max="7" width="15.28515625" style="44" customWidth="1"/>
    <col min="8" max="8" width="17.140625" style="44" customWidth="1"/>
    <col min="9" max="9" width="4.85546875" style="44" customWidth="1"/>
    <col min="10" max="10" width="14.5703125" style="44" customWidth="1"/>
    <col min="11" max="11" width="3.7109375" style="44" customWidth="1"/>
    <col min="12" max="12" width="10.5703125" style="44" customWidth="1"/>
    <col min="13" max="13" width="3.28515625" style="44" customWidth="1"/>
    <col min="14" max="14" width="4.140625" style="44" customWidth="1"/>
    <col min="15" max="16384" width="9.140625" style="44"/>
  </cols>
  <sheetData>
    <row r="1" spans="1:14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x14ac:dyDescent="0.25">
      <c r="A3" s="43"/>
      <c r="B3" s="88" t="s">
        <v>89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43"/>
    </row>
    <row r="4" spans="1:14" x14ac:dyDescent="0.25">
      <c r="A4" s="43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43"/>
    </row>
    <row r="5" spans="1:14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4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  <row r="8" spans="1:14" ht="30" customHeight="1" x14ac:dyDescent="0.25">
      <c r="A8" s="43"/>
      <c r="B8" s="96" t="s">
        <v>46</v>
      </c>
      <c r="C8" s="97"/>
      <c r="D8" s="97"/>
      <c r="E8" s="97"/>
      <c r="F8" s="97"/>
      <c r="G8" s="97"/>
      <c r="H8" s="46" t="s">
        <v>149</v>
      </c>
      <c r="I8" s="47"/>
      <c r="J8" s="46" t="s">
        <v>150</v>
      </c>
      <c r="K8" s="47"/>
      <c r="L8" s="52" t="s">
        <v>141</v>
      </c>
      <c r="M8" s="53"/>
      <c r="N8" s="43"/>
    </row>
    <row r="9" spans="1:14" ht="39" x14ac:dyDescent="0.25">
      <c r="A9" s="43"/>
      <c r="B9" s="32" t="s">
        <v>32</v>
      </c>
      <c r="C9" s="54"/>
      <c r="D9" s="54"/>
      <c r="E9" s="54"/>
      <c r="F9" s="55"/>
      <c r="G9" s="55"/>
      <c r="H9" s="7">
        <v>98280673.486470401</v>
      </c>
      <c r="I9" s="8" t="s">
        <v>2</v>
      </c>
      <c r="J9" s="7">
        <v>25261585.197171893</v>
      </c>
      <c r="K9" s="8" t="s">
        <v>2</v>
      </c>
      <c r="L9" s="56"/>
      <c r="M9" s="10"/>
      <c r="N9" s="43"/>
    </row>
    <row r="10" spans="1:14" ht="26.25" x14ac:dyDescent="0.25">
      <c r="A10" s="43"/>
      <c r="B10" s="33" t="s">
        <v>69</v>
      </c>
      <c r="C10" s="54"/>
      <c r="D10" s="54"/>
      <c r="E10" s="54"/>
      <c r="F10" s="55"/>
      <c r="G10" s="55"/>
      <c r="H10" s="7">
        <v>0</v>
      </c>
      <c r="I10" s="8" t="s">
        <v>2</v>
      </c>
      <c r="J10" s="7">
        <v>0</v>
      </c>
      <c r="K10" s="8" t="s">
        <v>2</v>
      </c>
      <c r="L10" s="49"/>
      <c r="M10" s="12"/>
      <c r="N10" s="43"/>
    </row>
    <row r="11" spans="1:14" ht="26.25" x14ac:dyDescent="0.25">
      <c r="A11" s="43"/>
      <c r="B11" s="33" t="s">
        <v>45</v>
      </c>
      <c r="C11" s="54"/>
      <c r="D11" s="54"/>
      <c r="E11" s="54"/>
      <c r="F11" s="55"/>
      <c r="G11" s="55"/>
      <c r="H11" s="7">
        <v>31591458.94874404</v>
      </c>
      <c r="I11" s="8" t="s">
        <v>2</v>
      </c>
      <c r="J11" s="7">
        <v>2022971.2948782488</v>
      </c>
      <c r="K11" s="8" t="s">
        <v>2</v>
      </c>
      <c r="L11" s="49"/>
      <c r="M11" s="12"/>
      <c r="N11" s="43"/>
    </row>
    <row r="12" spans="1:14" ht="26.45" customHeight="1" x14ac:dyDescent="0.25">
      <c r="A12" s="43"/>
      <c r="B12" s="93" t="s">
        <v>71</v>
      </c>
      <c r="C12" s="94"/>
      <c r="D12" s="94"/>
      <c r="E12" s="94"/>
      <c r="F12" s="94"/>
      <c r="G12" s="95"/>
      <c r="H12" s="7">
        <v>0</v>
      </c>
      <c r="I12" s="8" t="s">
        <v>2</v>
      </c>
      <c r="J12" s="7">
        <v>0</v>
      </c>
      <c r="K12" s="8" t="s">
        <v>2</v>
      </c>
      <c r="L12" s="57"/>
      <c r="M12" s="13"/>
      <c r="N12" s="43"/>
    </row>
    <row r="13" spans="1:14" ht="29.1" customHeight="1" x14ac:dyDescent="0.25">
      <c r="A13" s="43"/>
      <c r="B13" s="96" t="s">
        <v>56</v>
      </c>
      <c r="C13" s="97"/>
      <c r="D13" s="97"/>
      <c r="E13" s="97"/>
      <c r="F13" s="97"/>
      <c r="G13" s="98"/>
      <c r="H13" s="22">
        <f>H9-H10-H11</f>
        <v>66689214.537726358</v>
      </c>
      <c r="I13" s="23" t="s">
        <v>2</v>
      </c>
      <c r="J13" s="22">
        <f>J9-J10-J11</f>
        <v>23238613.902293645</v>
      </c>
      <c r="K13" s="23" t="s">
        <v>2</v>
      </c>
      <c r="L13" s="41">
        <f>+J13+H13</f>
        <v>89927828.440019995</v>
      </c>
      <c r="M13" s="42" t="s">
        <v>2</v>
      </c>
      <c r="N13" s="43"/>
    </row>
    <row r="14" spans="1:14" x14ac:dyDescent="0.25">
      <c r="A14" s="43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43"/>
    </row>
    <row r="15" spans="1:14" x14ac:dyDescent="0.25">
      <c r="A15" s="43"/>
      <c r="B15" s="59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43"/>
    </row>
    <row r="16" spans="1:14" x14ac:dyDescent="0.25">
      <c r="A16" s="43"/>
      <c r="B16" s="59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43"/>
    </row>
    <row r="17" spans="1:14" x14ac:dyDescent="0.25">
      <c r="A17" s="43"/>
      <c r="B17" s="59"/>
      <c r="C17" s="43"/>
      <c r="D17" s="43"/>
      <c r="E17" s="43"/>
      <c r="F17" s="43"/>
      <c r="G17" s="43"/>
      <c r="H17" s="58"/>
      <c r="I17" s="58"/>
      <c r="J17" s="58"/>
      <c r="K17" s="58"/>
      <c r="L17" s="58"/>
      <c r="M17" s="43"/>
      <c r="N17" s="43"/>
    </row>
    <row r="18" spans="1:14" x14ac:dyDescent="0.25">
      <c r="A18" s="43"/>
      <c r="B18" s="59"/>
      <c r="C18" s="43"/>
      <c r="D18" s="43"/>
      <c r="E18" s="43"/>
      <c r="F18" s="43"/>
      <c r="G18" s="43"/>
      <c r="H18" s="58"/>
      <c r="I18" s="58"/>
      <c r="J18" s="58"/>
      <c r="K18" s="58"/>
      <c r="L18" s="58"/>
      <c r="M18" s="43"/>
      <c r="N18" s="43"/>
    </row>
    <row r="19" spans="1:14" x14ac:dyDescent="0.25">
      <c r="A19" s="43"/>
      <c r="B19" s="59"/>
      <c r="C19" s="43"/>
      <c r="D19" s="43"/>
      <c r="E19" s="43"/>
      <c r="F19" s="43"/>
      <c r="G19" s="43"/>
      <c r="H19" s="58"/>
      <c r="I19" s="58"/>
      <c r="J19" s="58"/>
      <c r="K19" s="58"/>
      <c r="L19" s="58"/>
      <c r="M19" s="43"/>
      <c r="N19" s="43"/>
    </row>
    <row r="20" spans="1:14" x14ac:dyDescent="0.25">
      <c r="A20" s="43"/>
      <c r="B20" s="59"/>
      <c r="C20" s="43"/>
      <c r="D20" s="43"/>
      <c r="E20" s="43"/>
      <c r="F20" s="43"/>
      <c r="G20" s="43"/>
      <c r="H20" s="58"/>
      <c r="I20" s="58"/>
      <c r="J20" s="58"/>
      <c r="K20" s="58"/>
      <c r="L20" s="58"/>
      <c r="M20" s="43"/>
      <c r="N20" s="43"/>
    </row>
    <row r="21" spans="1:14" x14ac:dyDescent="0.25">
      <c r="A21" s="43"/>
      <c r="B21" s="59"/>
      <c r="C21" s="43"/>
      <c r="D21" s="43"/>
      <c r="E21" s="43"/>
      <c r="F21" s="43"/>
      <c r="G21" s="43"/>
      <c r="H21" s="58"/>
      <c r="I21" s="58"/>
      <c r="J21" s="58"/>
      <c r="K21" s="58"/>
      <c r="L21" s="58"/>
      <c r="M21" s="43"/>
      <c r="N21" s="43"/>
    </row>
    <row r="22" spans="1:14" x14ac:dyDescent="0.2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</row>
    <row r="23" spans="1:14" x14ac:dyDescent="0.25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</row>
    <row r="24" spans="1:14" x14ac:dyDescent="0.2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spans="1:14" x14ac:dyDescent="0.2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</row>
    <row r="26" spans="1:14" x14ac:dyDescent="0.2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</row>
    <row r="27" spans="1:14" x14ac:dyDescent="0.2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</row>
    <row r="28" spans="1:14" x14ac:dyDescent="0.25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</row>
    <row r="29" spans="1:14" x14ac:dyDescent="0.2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</row>
    <row r="30" spans="1:14" x14ac:dyDescent="0.25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</row>
    <row r="31" spans="1:14" x14ac:dyDescent="0.2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</row>
    <row r="32" spans="1:14" x14ac:dyDescent="0.25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</row>
    <row r="33" spans="1:14" x14ac:dyDescent="0.2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</row>
    <row r="34" spans="1:14" x14ac:dyDescent="0.2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x14ac:dyDescent="0.2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</row>
    <row r="36" spans="1:14" x14ac:dyDescent="0.25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  <row r="37" spans="1:14" x14ac:dyDescent="0.25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</row>
    <row r="38" spans="1:14" x14ac:dyDescent="0.2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</row>
    <row r="39" spans="1:14" x14ac:dyDescent="0.25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</row>
    <row r="40" spans="1:14" x14ac:dyDescent="0.25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</row>
    <row r="41" spans="1:14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</row>
    <row r="42" spans="1:14" x14ac:dyDescent="0.25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14" x14ac:dyDescent="0.25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</row>
    <row r="44" spans="1:14" x14ac:dyDescent="0.25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</row>
    <row r="45" spans="1:14" x14ac:dyDescent="0.25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</row>
    <row r="46" spans="1:14" x14ac:dyDescent="0.25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</row>
    <row r="47" spans="1:14" x14ac:dyDescent="0.25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</row>
    <row r="48" spans="1:14" x14ac:dyDescent="0.25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</row>
  </sheetData>
  <sheetProtection algorithmName="SHA-512" hashValue="y/dq8oQw/LS8FF4GkhKkxY2Dfg3yoMZksDZYuhheSJgbDxOl5fLePH/gvJgQnBlVLOalWWmnpykDLWh7AEVcBA==" saltValue="TFVRTo7IGmti44T0NE6xKQ==" spinCount="100000" sheet="1" objects="1" scenarios="1"/>
  <mergeCells count="4">
    <mergeCell ref="B3:M4"/>
    <mergeCell ref="B12:G12"/>
    <mergeCell ref="B8:G8"/>
    <mergeCell ref="B13:G13"/>
  </mergeCells>
  <pageMargins left="0.16666666666666666" right="7.6388888888888895E-2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>
      <selection activeCell="E31" sqref="E31"/>
    </sheetView>
  </sheetViews>
  <sheetFormatPr defaultColWidth="9.140625" defaultRowHeight="15" x14ac:dyDescent="0.25"/>
  <cols>
    <col min="1" max="1" width="4.85546875" style="44" customWidth="1"/>
    <col min="2" max="2" width="9.140625" style="44"/>
    <col min="3" max="3" width="20.28515625" style="44" customWidth="1"/>
    <col min="4" max="4" width="25.42578125" style="44" customWidth="1"/>
    <col min="5" max="5" width="22.42578125" style="44" customWidth="1"/>
    <col min="6" max="6" width="3.85546875" style="44" customWidth="1"/>
    <col min="7" max="7" width="5.85546875" style="44" customWidth="1"/>
    <col min="8" max="8" width="3" style="44" customWidth="1"/>
    <col min="9" max="16384" width="9.140625" style="44"/>
  </cols>
  <sheetData>
    <row r="1" spans="1:8" x14ac:dyDescent="0.25">
      <c r="A1" s="43"/>
      <c r="B1" s="43"/>
      <c r="C1" s="43"/>
      <c r="D1" s="43"/>
      <c r="E1" s="43"/>
      <c r="F1" s="43"/>
      <c r="G1" s="43"/>
      <c r="H1" s="43"/>
    </row>
    <row r="2" spans="1:8" x14ac:dyDescent="0.25">
      <c r="A2" s="43"/>
      <c r="B2" s="43"/>
      <c r="C2" s="43"/>
      <c r="D2" s="43"/>
      <c r="E2" s="43"/>
      <c r="F2" s="43"/>
      <c r="G2" s="43"/>
      <c r="H2" s="43"/>
    </row>
    <row r="3" spans="1:8" ht="15" customHeight="1" x14ac:dyDescent="0.25">
      <c r="A3" s="43"/>
      <c r="B3" s="88" t="s">
        <v>98</v>
      </c>
      <c r="C3" s="88"/>
      <c r="D3" s="88"/>
      <c r="E3" s="88"/>
      <c r="F3" s="88"/>
      <c r="G3" s="43"/>
      <c r="H3" s="43"/>
    </row>
    <row r="4" spans="1:8" ht="15" customHeight="1" x14ac:dyDescent="0.25">
      <c r="A4" s="43"/>
      <c r="B4" s="88"/>
      <c r="C4" s="88"/>
      <c r="D4" s="88"/>
      <c r="E4" s="88"/>
      <c r="F4" s="88"/>
      <c r="G4" s="43"/>
      <c r="H4" s="43"/>
    </row>
    <row r="5" spans="1:8" x14ac:dyDescent="0.25">
      <c r="A5" s="43"/>
      <c r="B5" s="43"/>
      <c r="C5" s="43"/>
      <c r="D5" s="43"/>
      <c r="E5" s="43"/>
      <c r="F5" s="43"/>
      <c r="G5" s="43"/>
      <c r="H5" s="43"/>
    </row>
    <row r="6" spans="1:8" x14ac:dyDescent="0.25">
      <c r="A6" s="43"/>
      <c r="B6" s="43"/>
      <c r="C6" s="43"/>
      <c r="D6" s="43"/>
      <c r="E6" s="43"/>
      <c r="F6" s="43"/>
      <c r="G6" s="43"/>
      <c r="H6" s="43"/>
    </row>
    <row r="7" spans="1:8" x14ac:dyDescent="0.25">
      <c r="A7" s="43"/>
      <c r="B7" s="43"/>
      <c r="C7" s="43"/>
      <c r="D7" s="43"/>
      <c r="E7" s="43"/>
      <c r="F7" s="43"/>
      <c r="G7" s="43"/>
      <c r="H7" s="43"/>
    </row>
    <row r="8" spans="1:8" x14ac:dyDescent="0.25">
      <c r="A8" s="43"/>
      <c r="B8" s="90" t="s">
        <v>151</v>
      </c>
      <c r="C8" s="91"/>
      <c r="D8" s="91"/>
      <c r="E8" s="91"/>
      <c r="F8" s="92"/>
      <c r="G8" s="43"/>
      <c r="H8" s="43"/>
    </row>
    <row r="9" spans="1:8" ht="26.25" x14ac:dyDescent="0.25">
      <c r="A9" s="43"/>
      <c r="B9" s="102" t="s">
        <v>107</v>
      </c>
      <c r="C9" s="103"/>
      <c r="D9" s="104"/>
      <c r="E9" s="34" t="s">
        <v>44</v>
      </c>
      <c r="F9" s="14"/>
      <c r="G9" s="43"/>
      <c r="H9" s="43"/>
    </row>
    <row r="10" spans="1:8" x14ac:dyDescent="0.25">
      <c r="A10" s="43"/>
      <c r="B10" s="99" t="s">
        <v>130</v>
      </c>
      <c r="C10" s="100"/>
      <c r="D10" s="101"/>
      <c r="E10" s="7">
        <v>46188</v>
      </c>
      <c r="F10" s="8" t="s">
        <v>2</v>
      </c>
      <c r="G10" s="43"/>
      <c r="H10" s="43"/>
    </row>
    <row r="11" spans="1:8" ht="29.25" customHeight="1" x14ac:dyDescent="0.25">
      <c r="A11" s="43"/>
      <c r="B11" s="99" t="s">
        <v>131</v>
      </c>
      <c r="C11" s="100"/>
      <c r="D11" s="101"/>
      <c r="E11" s="7">
        <v>0</v>
      </c>
      <c r="F11" s="8" t="s">
        <v>2</v>
      </c>
      <c r="G11" s="43"/>
      <c r="H11" s="43"/>
    </row>
    <row r="12" spans="1:8" x14ac:dyDescent="0.25">
      <c r="A12" s="43"/>
      <c r="B12" s="99" t="s">
        <v>132</v>
      </c>
      <c r="C12" s="100"/>
      <c r="D12" s="101"/>
      <c r="E12" s="7">
        <v>182446</v>
      </c>
      <c r="F12" s="8" t="s">
        <v>2</v>
      </c>
      <c r="G12" s="43"/>
      <c r="H12" s="43"/>
    </row>
    <row r="13" spans="1:8" x14ac:dyDescent="0.25">
      <c r="A13" s="43"/>
      <c r="B13" s="90" t="s">
        <v>123</v>
      </c>
      <c r="C13" s="91"/>
      <c r="D13" s="92"/>
      <c r="E13" s="22">
        <f>SUM(E10:E12)</f>
        <v>228634</v>
      </c>
      <c r="F13" s="23" t="s">
        <v>2</v>
      </c>
      <c r="G13" s="43"/>
      <c r="H13" s="43"/>
    </row>
    <row r="14" spans="1:8" x14ac:dyDescent="0.25">
      <c r="A14" s="43"/>
      <c r="B14" s="90" t="s">
        <v>124</v>
      </c>
      <c r="C14" s="91"/>
      <c r="D14" s="92"/>
      <c r="E14" s="22">
        <f>E13*(1+Prisudvikling2019)^2</f>
        <v>236427.12935673996</v>
      </c>
      <c r="F14" s="23" t="s">
        <v>2</v>
      </c>
      <c r="G14" s="43"/>
      <c r="H14" s="43"/>
    </row>
    <row r="15" spans="1:8" x14ac:dyDescent="0.25">
      <c r="A15" s="43"/>
      <c r="B15" s="59"/>
      <c r="C15" s="58"/>
      <c r="D15" s="58"/>
      <c r="E15" s="58"/>
      <c r="F15" s="58"/>
      <c r="G15" s="43"/>
      <c r="H15" s="43"/>
    </row>
    <row r="16" spans="1:8" x14ac:dyDescent="0.25">
      <c r="A16" s="43"/>
      <c r="B16" s="90" t="s">
        <v>152</v>
      </c>
      <c r="C16" s="91"/>
      <c r="D16" s="91"/>
      <c r="E16" s="91"/>
      <c r="F16" s="92"/>
      <c r="G16" s="43"/>
      <c r="H16" s="43"/>
    </row>
    <row r="17" spans="1:8" ht="26.25" x14ac:dyDescent="0.25">
      <c r="A17" s="43"/>
      <c r="B17" s="102" t="s">
        <v>107</v>
      </c>
      <c r="C17" s="103"/>
      <c r="D17" s="104"/>
      <c r="E17" s="34" t="s">
        <v>44</v>
      </c>
      <c r="F17" s="14"/>
      <c r="G17" s="43"/>
      <c r="H17" s="43"/>
    </row>
    <row r="18" spans="1:8" x14ac:dyDescent="0.25">
      <c r="A18" s="43"/>
      <c r="B18" s="99" t="s">
        <v>144</v>
      </c>
      <c r="C18" s="100"/>
      <c r="D18" s="101"/>
      <c r="E18" s="7">
        <v>2026864</v>
      </c>
      <c r="F18" s="8" t="s">
        <v>2</v>
      </c>
      <c r="G18" s="43"/>
      <c r="H18" s="43"/>
    </row>
    <row r="19" spans="1:8" x14ac:dyDescent="0.25">
      <c r="A19" s="43"/>
      <c r="B19" s="99" t="s">
        <v>130</v>
      </c>
      <c r="C19" s="100"/>
      <c r="D19" s="101"/>
      <c r="E19" s="7">
        <v>47141</v>
      </c>
      <c r="F19" s="8" t="s">
        <v>2</v>
      </c>
      <c r="G19" s="43"/>
      <c r="H19" s="43"/>
    </row>
    <row r="20" spans="1:8" x14ac:dyDescent="0.25">
      <c r="A20" s="43"/>
      <c r="B20" s="99" t="s">
        <v>132</v>
      </c>
      <c r="C20" s="100"/>
      <c r="D20" s="101"/>
      <c r="E20" s="7">
        <v>151284</v>
      </c>
      <c r="F20" s="8" t="s">
        <v>2</v>
      </c>
      <c r="G20" s="43"/>
      <c r="H20" s="43"/>
    </row>
    <row r="21" spans="1:8" x14ac:dyDescent="0.25">
      <c r="A21" s="43"/>
      <c r="B21" s="90" t="s">
        <v>123</v>
      </c>
      <c r="C21" s="91"/>
      <c r="D21" s="92"/>
      <c r="E21" s="22">
        <f>SUM(E18:E20)</f>
        <v>2225289</v>
      </c>
      <c r="F21" s="23" t="s">
        <v>2</v>
      </c>
      <c r="G21" s="43"/>
      <c r="H21" s="43"/>
    </row>
    <row r="22" spans="1:8" x14ac:dyDescent="0.25">
      <c r="A22" s="43"/>
      <c r="B22" s="90" t="s">
        <v>124</v>
      </c>
      <c r="C22" s="91"/>
      <c r="D22" s="92"/>
      <c r="E22" s="22">
        <f>E21*(1+Prisudvikling2019)^2</f>
        <v>2301139.3329912894</v>
      </c>
      <c r="F22" s="23" t="s">
        <v>2</v>
      </c>
      <c r="G22" s="43"/>
      <c r="H22" s="43"/>
    </row>
    <row r="23" spans="1:8" x14ac:dyDescent="0.25">
      <c r="A23" s="43"/>
      <c r="B23" s="43"/>
      <c r="C23" s="43"/>
      <c r="D23" s="43"/>
      <c r="E23" s="43"/>
      <c r="F23" s="43"/>
      <c r="G23" s="43"/>
      <c r="H23" s="43"/>
    </row>
    <row r="24" spans="1:8" x14ac:dyDescent="0.25">
      <c r="A24" s="43"/>
      <c r="B24" s="90" t="s">
        <v>153</v>
      </c>
      <c r="C24" s="91"/>
      <c r="D24" s="91"/>
      <c r="E24" s="91"/>
      <c r="F24" s="92"/>
      <c r="G24" s="43"/>
      <c r="H24" s="43"/>
    </row>
    <row r="25" spans="1:8" ht="26.25" x14ac:dyDescent="0.25">
      <c r="A25" s="43"/>
      <c r="B25" s="102" t="s">
        <v>107</v>
      </c>
      <c r="C25" s="103"/>
      <c r="D25" s="104"/>
      <c r="E25" s="34" t="s">
        <v>44</v>
      </c>
      <c r="F25" s="14"/>
      <c r="G25" s="43"/>
      <c r="H25" s="43"/>
    </row>
    <row r="26" spans="1:8" x14ac:dyDescent="0.25">
      <c r="A26" s="43"/>
      <c r="B26" s="99" t="s">
        <v>130</v>
      </c>
      <c r="C26" s="100"/>
      <c r="D26" s="101"/>
      <c r="E26" s="7">
        <f>+E10+E19</f>
        <v>93329</v>
      </c>
      <c r="F26" s="8" t="s">
        <v>2</v>
      </c>
      <c r="G26" s="43"/>
      <c r="H26" s="43"/>
    </row>
    <row r="27" spans="1:8" ht="30" customHeight="1" x14ac:dyDescent="0.25">
      <c r="A27" s="43"/>
      <c r="B27" s="99" t="s">
        <v>131</v>
      </c>
      <c r="C27" s="100"/>
      <c r="D27" s="101"/>
      <c r="E27" s="7">
        <f>+E11</f>
        <v>0</v>
      </c>
      <c r="F27" s="8"/>
      <c r="G27" s="43"/>
      <c r="H27" s="43"/>
    </row>
    <row r="28" spans="1:8" x14ac:dyDescent="0.25">
      <c r="A28" s="43"/>
      <c r="B28" s="99" t="s">
        <v>132</v>
      </c>
      <c r="C28" s="100"/>
      <c r="D28" s="101"/>
      <c r="E28" s="7">
        <f>+E20+E12</f>
        <v>333730</v>
      </c>
      <c r="F28" s="8" t="s">
        <v>2</v>
      </c>
      <c r="G28" s="43"/>
      <c r="H28" s="43"/>
    </row>
    <row r="29" spans="1:8" x14ac:dyDescent="0.25">
      <c r="A29" s="43"/>
      <c r="B29" s="99" t="s">
        <v>144</v>
      </c>
      <c r="C29" s="100"/>
      <c r="D29" s="101"/>
      <c r="E29" s="7">
        <f>+E18</f>
        <v>2026864</v>
      </c>
      <c r="F29" s="8" t="s">
        <v>2</v>
      </c>
      <c r="G29" s="43"/>
      <c r="H29" s="43"/>
    </row>
    <row r="30" spans="1:8" x14ac:dyDescent="0.25">
      <c r="A30" s="43"/>
      <c r="B30" s="90" t="s">
        <v>123</v>
      </c>
      <c r="C30" s="91"/>
      <c r="D30" s="92"/>
      <c r="E30" s="22">
        <f>SUM(E26:E29)</f>
        <v>2453923</v>
      </c>
      <c r="F30" s="23" t="s">
        <v>2</v>
      </c>
      <c r="G30" s="43"/>
      <c r="H30" s="43"/>
    </row>
    <row r="31" spans="1:8" x14ac:dyDescent="0.25">
      <c r="A31" s="43"/>
      <c r="B31" s="90" t="s">
        <v>124</v>
      </c>
      <c r="C31" s="91"/>
      <c r="D31" s="92"/>
      <c r="E31" s="22">
        <f>E30*(1+Prisudvikling2019)^2</f>
        <v>2537566.4623480295</v>
      </c>
      <c r="F31" s="23" t="s">
        <v>2</v>
      </c>
      <c r="G31" s="43"/>
      <c r="H31" s="43"/>
    </row>
    <row r="32" spans="1:8" x14ac:dyDescent="0.25">
      <c r="A32" s="43"/>
      <c r="B32" s="43"/>
      <c r="C32" s="43"/>
      <c r="D32" s="43"/>
      <c r="E32" s="43"/>
      <c r="F32" s="43"/>
      <c r="G32" s="43"/>
      <c r="H32" s="43"/>
    </row>
    <row r="33" spans="1:8" x14ac:dyDescent="0.25">
      <c r="A33" s="43"/>
      <c r="B33" s="43"/>
      <c r="C33" s="43"/>
      <c r="D33" s="43"/>
      <c r="E33" s="43"/>
      <c r="F33" s="43"/>
      <c r="G33" s="43"/>
      <c r="H33" s="43"/>
    </row>
    <row r="34" spans="1:8" x14ac:dyDescent="0.25">
      <c r="A34" s="43"/>
      <c r="B34" s="43"/>
      <c r="C34" s="43"/>
      <c r="D34" s="43"/>
      <c r="E34" s="43"/>
      <c r="F34" s="43"/>
      <c r="G34" s="43"/>
      <c r="H34" s="43"/>
    </row>
    <row r="35" spans="1:8" x14ac:dyDescent="0.25">
      <c r="A35" s="43"/>
      <c r="B35" s="43"/>
      <c r="C35" s="43"/>
      <c r="D35" s="43"/>
      <c r="E35" s="43"/>
      <c r="F35" s="43"/>
      <c r="G35" s="43"/>
      <c r="H35" s="43"/>
    </row>
    <row r="36" spans="1:8" x14ac:dyDescent="0.25">
      <c r="A36" s="43"/>
      <c r="B36" s="43"/>
      <c r="C36" s="43"/>
      <c r="D36" s="43"/>
      <c r="E36" s="43"/>
      <c r="F36" s="43"/>
      <c r="G36" s="43"/>
      <c r="H36" s="43"/>
    </row>
    <row r="37" spans="1:8" x14ac:dyDescent="0.25">
      <c r="A37" s="43"/>
      <c r="B37" s="43"/>
      <c r="C37" s="43"/>
      <c r="D37" s="43"/>
      <c r="E37" s="43"/>
      <c r="F37" s="43"/>
      <c r="G37" s="43"/>
      <c r="H37" s="43"/>
    </row>
    <row r="38" spans="1:8" x14ac:dyDescent="0.25">
      <c r="A38" s="43"/>
      <c r="B38" s="43"/>
      <c r="C38" s="43"/>
      <c r="D38" s="43"/>
      <c r="E38" s="43"/>
      <c r="F38" s="43"/>
      <c r="G38" s="43"/>
      <c r="H38" s="43"/>
    </row>
    <row r="39" spans="1:8" x14ac:dyDescent="0.25">
      <c r="A39" s="43"/>
      <c r="B39" s="43"/>
      <c r="C39" s="43"/>
      <c r="D39" s="43"/>
      <c r="E39" s="43"/>
      <c r="F39" s="43"/>
      <c r="G39" s="43"/>
      <c r="H39" s="43"/>
    </row>
    <row r="40" spans="1:8" x14ac:dyDescent="0.25">
      <c r="A40" s="43"/>
      <c r="B40" s="43"/>
      <c r="C40" s="43"/>
      <c r="D40" s="43"/>
      <c r="E40" s="43"/>
      <c r="F40" s="43"/>
      <c r="G40" s="43"/>
      <c r="H40" s="43"/>
    </row>
    <row r="41" spans="1:8" x14ac:dyDescent="0.25">
      <c r="A41" s="43"/>
      <c r="B41" s="43"/>
      <c r="C41" s="43"/>
      <c r="D41" s="43"/>
      <c r="E41" s="43"/>
      <c r="F41" s="43"/>
      <c r="G41" s="43"/>
      <c r="H41" s="43"/>
    </row>
    <row r="42" spans="1:8" x14ac:dyDescent="0.25">
      <c r="A42" s="43"/>
      <c r="B42" s="43"/>
      <c r="C42" s="43"/>
      <c r="D42" s="43"/>
      <c r="E42" s="43"/>
      <c r="F42" s="43"/>
      <c r="G42" s="43"/>
      <c r="H42" s="43"/>
    </row>
    <row r="43" spans="1:8" x14ac:dyDescent="0.25">
      <c r="A43" s="43"/>
      <c r="B43" s="43"/>
      <c r="C43" s="43"/>
      <c r="D43" s="43"/>
      <c r="E43" s="43"/>
      <c r="F43" s="43"/>
      <c r="G43" s="43"/>
      <c r="H43" s="43"/>
    </row>
    <row r="44" spans="1:8" x14ac:dyDescent="0.25">
      <c r="A44" s="43"/>
      <c r="B44" s="43"/>
      <c r="C44" s="43"/>
      <c r="D44" s="43"/>
      <c r="E44" s="43"/>
      <c r="F44" s="43"/>
      <c r="G44" s="43"/>
      <c r="H44" s="43"/>
    </row>
    <row r="45" spans="1:8" x14ac:dyDescent="0.25">
      <c r="A45" s="43"/>
      <c r="B45" s="43"/>
      <c r="C45" s="43"/>
      <c r="D45" s="43"/>
      <c r="E45" s="43"/>
      <c r="F45" s="43"/>
      <c r="G45" s="43"/>
      <c r="H45" s="43"/>
    </row>
    <row r="46" spans="1:8" x14ac:dyDescent="0.25">
      <c r="A46" s="43"/>
      <c r="B46" s="43"/>
      <c r="C46" s="43"/>
      <c r="D46" s="43"/>
      <c r="E46" s="43"/>
      <c r="F46" s="43"/>
      <c r="G46" s="43"/>
      <c r="H46" s="43"/>
    </row>
    <row r="47" spans="1:8" x14ac:dyDescent="0.25">
      <c r="A47" s="43"/>
      <c r="B47" s="43"/>
      <c r="C47" s="43"/>
      <c r="D47" s="43"/>
      <c r="E47" s="43"/>
      <c r="F47" s="43"/>
      <c r="G47" s="43"/>
      <c r="H47" s="43"/>
    </row>
    <row r="48" spans="1:8" x14ac:dyDescent="0.25">
      <c r="A48" s="43"/>
      <c r="B48" s="43"/>
      <c r="C48" s="43"/>
      <c r="D48" s="43"/>
      <c r="E48" s="43"/>
      <c r="F48" s="43"/>
      <c r="G48" s="43"/>
      <c r="H48" s="43"/>
    </row>
    <row r="49" spans="1:8" x14ac:dyDescent="0.25">
      <c r="A49" s="43"/>
      <c r="B49" s="43"/>
      <c r="C49" s="43"/>
      <c r="D49" s="43"/>
      <c r="E49" s="43"/>
      <c r="F49" s="43"/>
      <c r="G49" s="43"/>
      <c r="H49" s="43"/>
    </row>
    <row r="50" spans="1:8" x14ac:dyDescent="0.25">
      <c r="A50" s="43"/>
      <c r="B50" s="43"/>
      <c r="C50" s="43"/>
      <c r="D50" s="43"/>
      <c r="E50" s="43"/>
      <c r="F50" s="43"/>
      <c r="G50" s="43"/>
    </row>
  </sheetData>
  <sheetProtection algorithmName="SHA-512" hashValue="xCq2zEoSUD1p3nao/CEuLgjYB5hThEyvY8H/J38ljbkqaw3hE3HL2w/JQsPs5ev/52nE6QnztXpu/nee6WteYw==" saltValue="+U4jTMQ5puyoT5vsBmO82w==" spinCount="100000" sheet="1" objects="1" scenarios="1"/>
  <mergeCells count="23">
    <mergeCell ref="B25:D25"/>
    <mergeCell ref="B30:D30"/>
    <mergeCell ref="B31:D31"/>
    <mergeCell ref="B27:D27"/>
    <mergeCell ref="B17:D17"/>
    <mergeCell ref="B21:D21"/>
    <mergeCell ref="B22:D22"/>
    <mergeCell ref="B19:D19"/>
    <mergeCell ref="B20:D20"/>
    <mergeCell ref="B24:F24"/>
    <mergeCell ref="B26:D26"/>
    <mergeCell ref="B28:D28"/>
    <mergeCell ref="B29:D29"/>
    <mergeCell ref="B3:F4"/>
    <mergeCell ref="B13:D13"/>
    <mergeCell ref="B14:D14"/>
    <mergeCell ref="B11:D11"/>
    <mergeCell ref="B9:D9"/>
    <mergeCell ref="B16:F16"/>
    <mergeCell ref="B8:F8"/>
    <mergeCell ref="B10:D10"/>
    <mergeCell ref="B12:D12"/>
    <mergeCell ref="B18:D18"/>
  </mergeCells>
  <pageMargins left="0.29166666666666669" right="0.27083333333333331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M49"/>
  <sheetViews>
    <sheetView showGridLines="0" view="pageLayout" topLeftCell="A10" zoomScaleNormal="100" workbookViewId="0">
      <selection activeCell="B16" sqref="B16:G16"/>
    </sheetView>
  </sheetViews>
  <sheetFormatPr defaultColWidth="9.140625" defaultRowHeight="15" x14ac:dyDescent="0.25"/>
  <cols>
    <col min="1" max="1" width="4.5703125" style="44" customWidth="1"/>
    <col min="2" max="4" width="9.140625" style="44"/>
    <col min="5" max="5" width="7.5703125" style="44" customWidth="1"/>
    <col min="6" max="6" width="7.140625" style="44" hidden="1" customWidth="1"/>
    <col min="7" max="7" width="19" style="44" customWidth="1"/>
    <col min="8" max="8" width="3.42578125" style="44" customWidth="1"/>
    <col min="9" max="9" width="14.140625" style="44" customWidth="1"/>
    <col min="10" max="10" width="2.7109375" style="44" bestFit="1" customWidth="1"/>
    <col min="11" max="11" width="10.28515625" style="44" customWidth="1"/>
    <col min="12" max="12" width="3.28515625" style="44" customWidth="1"/>
    <col min="13" max="13" width="3.5703125" style="44" customWidth="1"/>
    <col min="14" max="16384" width="9.140625" style="44"/>
  </cols>
  <sheetData>
    <row r="1" spans="1:13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 ht="15" customHeight="1" x14ac:dyDescent="0.25">
      <c r="A3" s="43"/>
      <c r="B3" s="88" t="s">
        <v>115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43"/>
    </row>
    <row r="4" spans="1:13" ht="15" customHeight="1" x14ac:dyDescent="0.25">
      <c r="A4" s="43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43"/>
    </row>
    <row r="5" spans="1:13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3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3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</row>
    <row r="8" spans="1:13" ht="30.95" customHeight="1" x14ac:dyDescent="0.25">
      <c r="A8" s="43"/>
      <c r="B8" s="90" t="s">
        <v>14</v>
      </c>
      <c r="C8" s="91"/>
      <c r="D8" s="91"/>
      <c r="E8" s="91"/>
      <c r="F8" s="48"/>
      <c r="G8" s="46" t="s">
        <v>149</v>
      </c>
      <c r="H8" s="47"/>
      <c r="I8" s="46" t="s">
        <v>150</v>
      </c>
      <c r="J8" s="47"/>
      <c r="K8" s="52" t="s">
        <v>141</v>
      </c>
      <c r="L8" s="47"/>
      <c r="M8" s="43"/>
    </row>
    <row r="9" spans="1:13" ht="29.1" customHeight="1" x14ac:dyDescent="0.25">
      <c r="A9" s="43"/>
      <c r="B9" s="105" t="s">
        <v>78</v>
      </c>
      <c r="C9" s="106"/>
      <c r="D9" s="106"/>
      <c r="E9" s="106"/>
      <c r="F9" s="107"/>
      <c r="G9" s="60">
        <v>268519.75797143398</v>
      </c>
      <c r="H9" s="8" t="s">
        <v>2</v>
      </c>
      <c r="I9" s="60">
        <v>333339.75773609598</v>
      </c>
      <c r="J9" s="8" t="s">
        <v>2</v>
      </c>
      <c r="K9" s="61">
        <f>+G9+I9</f>
        <v>601859.51570752996</v>
      </c>
      <c r="L9" s="8" t="s">
        <v>2</v>
      </c>
      <c r="M9" s="43"/>
    </row>
    <row r="10" spans="1:13" ht="27" customHeight="1" x14ac:dyDescent="0.25">
      <c r="A10" s="43"/>
      <c r="B10" s="105" t="s">
        <v>79</v>
      </c>
      <c r="C10" s="106"/>
      <c r="D10" s="106"/>
      <c r="E10" s="106"/>
      <c r="F10" s="107"/>
      <c r="G10" s="60">
        <f>G9/GenereltKravDrift2018</f>
        <v>13425987.898571698</v>
      </c>
      <c r="H10" s="8" t="s">
        <v>2</v>
      </c>
      <c r="I10" s="60">
        <f>I9/GenereltKravDrift2018</f>
        <v>16666987.886804799</v>
      </c>
      <c r="J10" s="8" t="s">
        <v>2</v>
      </c>
      <c r="K10" s="61">
        <f t="shared" ref="K10:K12" si="0">+G10+I10</f>
        <v>30092975.785376497</v>
      </c>
      <c r="L10" s="8" t="s">
        <v>2</v>
      </c>
      <c r="M10" s="43"/>
    </row>
    <row r="11" spans="1:13" ht="29.45" customHeight="1" x14ac:dyDescent="0.25">
      <c r="A11" s="43"/>
      <c r="B11" s="105" t="s">
        <v>80</v>
      </c>
      <c r="C11" s="106"/>
      <c r="D11" s="106"/>
      <c r="E11" s="106"/>
      <c r="F11" s="107"/>
      <c r="G11" s="60">
        <v>964585.06691350113</v>
      </c>
      <c r="H11" s="8" t="s">
        <v>2</v>
      </c>
      <c r="I11" s="60">
        <v>124420.13049585817</v>
      </c>
      <c r="J11" s="8" t="s">
        <v>2</v>
      </c>
      <c r="K11" s="61">
        <f t="shared" si="0"/>
        <v>1089005.1974093593</v>
      </c>
      <c r="L11" s="8" t="s">
        <v>2</v>
      </c>
      <c r="M11" s="43"/>
    </row>
    <row r="12" spans="1:13" ht="29.45" customHeight="1" x14ac:dyDescent="0.25">
      <c r="A12" s="43"/>
      <c r="B12" s="105" t="s">
        <v>81</v>
      </c>
      <c r="C12" s="106"/>
      <c r="D12" s="106"/>
      <c r="E12" s="106"/>
      <c r="F12" s="107"/>
      <c r="G12" s="60">
        <f>G11/GenereltKravAnlæg2018</f>
        <v>54496331.464039609</v>
      </c>
      <c r="H12" s="8" t="s">
        <v>2</v>
      </c>
      <c r="I12" s="60">
        <f>I11/GenereltKravAnlæg2018</f>
        <v>7029385.9037208008</v>
      </c>
      <c r="J12" s="8" t="s">
        <v>2</v>
      </c>
      <c r="K12" s="61">
        <f t="shared" si="0"/>
        <v>61525717.367760412</v>
      </c>
      <c r="L12" s="8" t="s">
        <v>2</v>
      </c>
      <c r="M12" s="43"/>
    </row>
    <row r="13" spans="1:13" x14ac:dyDescent="0.25">
      <c r="A13" s="43"/>
      <c r="B13" s="46"/>
      <c r="C13" s="48"/>
      <c r="D13" s="48"/>
      <c r="E13" s="48"/>
      <c r="F13" s="48"/>
      <c r="G13" s="48"/>
      <c r="H13" s="48"/>
      <c r="I13" s="48"/>
      <c r="J13" s="48"/>
      <c r="K13" s="48"/>
      <c r="L13" s="47"/>
      <c r="M13" s="43"/>
    </row>
    <row r="14" spans="1:13" x14ac:dyDescent="0.25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</row>
    <row r="15" spans="1:13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</row>
    <row r="16" spans="1:13" x14ac:dyDescent="0.25">
      <c r="A16" s="43"/>
      <c r="B16" s="90" t="s">
        <v>63</v>
      </c>
      <c r="C16" s="91"/>
      <c r="D16" s="91"/>
      <c r="E16" s="91"/>
      <c r="F16" s="91"/>
      <c r="G16" s="92"/>
      <c r="H16" s="47"/>
      <c r="I16" s="43"/>
      <c r="J16" s="43"/>
      <c r="K16" s="43"/>
      <c r="L16" s="43"/>
      <c r="M16" s="43"/>
    </row>
    <row r="17" spans="1:13" ht="27.95" customHeight="1" x14ac:dyDescent="0.25">
      <c r="A17" s="43"/>
      <c r="B17" s="105" t="s">
        <v>83</v>
      </c>
      <c r="C17" s="106"/>
      <c r="D17" s="106"/>
      <c r="E17" s="106"/>
      <c r="F17" s="107"/>
      <c r="G17" s="62">
        <v>0.02</v>
      </c>
      <c r="H17" s="8"/>
      <c r="I17" s="43"/>
      <c r="J17" s="43"/>
      <c r="K17" s="43"/>
      <c r="L17" s="43"/>
      <c r="M17" s="43"/>
    </row>
    <row r="18" spans="1:13" ht="25.5" customHeight="1" x14ac:dyDescent="0.25">
      <c r="A18" s="43"/>
      <c r="B18" s="105" t="s">
        <v>82</v>
      </c>
      <c r="C18" s="106"/>
      <c r="D18" s="106"/>
      <c r="E18" s="106"/>
      <c r="F18" s="107"/>
      <c r="G18" s="62">
        <v>0.02</v>
      </c>
      <c r="H18" s="8"/>
      <c r="I18" s="43"/>
      <c r="J18" s="43"/>
      <c r="K18" s="43"/>
      <c r="L18" s="43"/>
      <c r="M18" s="43"/>
    </row>
    <row r="19" spans="1:13" ht="27.95" customHeight="1" x14ac:dyDescent="0.25">
      <c r="A19" s="43"/>
      <c r="B19" s="105" t="s">
        <v>84</v>
      </c>
      <c r="C19" s="106"/>
      <c r="D19" s="106"/>
      <c r="E19" s="106"/>
      <c r="F19" s="107"/>
      <c r="G19" s="62">
        <v>1.77E-2</v>
      </c>
      <c r="H19" s="8"/>
      <c r="I19" s="43"/>
      <c r="J19" s="43"/>
      <c r="K19" s="43"/>
      <c r="L19" s="43"/>
      <c r="M19" s="43"/>
    </row>
    <row r="20" spans="1:13" ht="27" customHeight="1" x14ac:dyDescent="0.25">
      <c r="A20" s="43"/>
      <c r="B20" s="105" t="s">
        <v>127</v>
      </c>
      <c r="C20" s="106"/>
      <c r="D20" s="106"/>
      <c r="E20" s="106"/>
      <c r="F20" s="107"/>
      <c r="G20" s="62">
        <v>8.6999999999999994E-3</v>
      </c>
      <c r="H20" s="8"/>
      <c r="I20" s="43"/>
      <c r="J20" s="43"/>
      <c r="K20" s="43"/>
      <c r="L20" s="43"/>
      <c r="M20" s="43"/>
    </row>
    <row r="21" spans="1:13" x14ac:dyDescent="0.25">
      <c r="A21" s="43"/>
      <c r="B21" s="46"/>
      <c r="C21" s="48"/>
      <c r="D21" s="48"/>
      <c r="E21" s="48"/>
      <c r="F21" s="48"/>
      <c r="G21" s="47"/>
      <c r="H21" s="47"/>
      <c r="I21" s="43"/>
      <c r="J21" s="43"/>
      <c r="K21" s="43"/>
      <c r="L21" s="43"/>
      <c r="M21" s="43"/>
    </row>
    <row r="22" spans="1:13" x14ac:dyDescent="0.2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</row>
    <row r="23" spans="1:13" x14ac:dyDescent="0.25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</row>
    <row r="24" spans="1:13" x14ac:dyDescent="0.2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</row>
    <row r="25" spans="1:13" x14ac:dyDescent="0.2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</row>
    <row r="26" spans="1:13" x14ac:dyDescent="0.2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</row>
    <row r="27" spans="1:13" x14ac:dyDescent="0.2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</row>
    <row r="28" spans="1:13" x14ac:dyDescent="0.25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</row>
    <row r="29" spans="1:13" x14ac:dyDescent="0.2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</row>
    <row r="30" spans="1:13" x14ac:dyDescent="0.25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</row>
    <row r="31" spans="1:13" x14ac:dyDescent="0.2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</row>
    <row r="32" spans="1:13" x14ac:dyDescent="0.25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</row>
    <row r="33" spans="1:13" x14ac:dyDescent="0.2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</row>
    <row r="34" spans="1:13" x14ac:dyDescent="0.2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</row>
    <row r="35" spans="1:13" x14ac:dyDescent="0.2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</row>
    <row r="36" spans="1:13" x14ac:dyDescent="0.25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</row>
    <row r="37" spans="1:13" x14ac:dyDescent="0.25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</row>
    <row r="38" spans="1:13" x14ac:dyDescent="0.2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</row>
    <row r="39" spans="1:13" x14ac:dyDescent="0.25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</row>
    <row r="40" spans="1:13" x14ac:dyDescent="0.25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</row>
    <row r="41" spans="1:13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</row>
    <row r="42" spans="1:13" x14ac:dyDescent="0.25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</row>
    <row r="43" spans="1:13" x14ac:dyDescent="0.25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</row>
    <row r="44" spans="1:13" x14ac:dyDescent="0.25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</row>
    <row r="45" spans="1:13" x14ac:dyDescent="0.25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</row>
    <row r="46" spans="1:13" x14ac:dyDescent="0.25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</row>
    <row r="47" spans="1:13" x14ac:dyDescent="0.25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</row>
    <row r="48" spans="1:13" x14ac:dyDescent="0.25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</row>
    <row r="49" spans="1:13" x14ac:dyDescent="0.2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</row>
  </sheetData>
  <sheetProtection algorithmName="SHA-512" hashValue="nvWtAfUzTdqsu82AEAr35mDqkjI2WOKHB8uoW2lTob0slG4UZ3iqe7bP7MXqfP8LwV8bpIo0PzkThI81X3vTUA==" saltValue="loi4N6a25HnGSt7Ikpfqgg==" spinCount="100000" sheet="1" objects="1" scenarios="1"/>
  <mergeCells count="11">
    <mergeCell ref="B3:L4"/>
    <mergeCell ref="B20:F20"/>
    <mergeCell ref="B19:F19"/>
    <mergeCell ref="B18:F18"/>
    <mergeCell ref="B17:F17"/>
    <mergeCell ref="B9:F9"/>
    <mergeCell ref="B10:F10"/>
    <mergeCell ref="B11:F11"/>
    <mergeCell ref="B12:F12"/>
    <mergeCell ref="B8:E8"/>
    <mergeCell ref="B16:G16"/>
  </mergeCells>
  <pageMargins left="0.31944444444444442" right="0.2986111111111111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M50"/>
  <sheetViews>
    <sheetView showGridLines="0" view="pageLayout" zoomScaleNormal="100" workbookViewId="0">
      <selection activeCell="B8" sqref="B8:F8"/>
    </sheetView>
  </sheetViews>
  <sheetFormatPr defaultColWidth="9.140625" defaultRowHeight="26.45" customHeight="1" x14ac:dyDescent="0.25"/>
  <cols>
    <col min="1" max="1" width="4" style="44" customWidth="1"/>
    <col min="2" max="3" width="9.140625" style="44"/>
    <col min="4" max="4" width="6.42578125" style="44" customWidth="1"/>
    <col min="5" max="5" width="3" style="44" customWidth="1"/>
    <col min="6" max="6" width="2.140625" style="44" customWidth="1"/>
    <col min="7" max="7" width="19.28515625" style="44" customWidth="1"/>
    <col min="8" max="8" width="3" style="44" bestFit="1" customWidth="1"/>
    <col min="9" max="9" width="13.5703125" style="44" customWidth="1"/>
    <col min="10" max="10" width="4.28515625" style="44" customWidth="1"/>
    <col min="11" max="11" width="10.28515625" style="44" customWidth="1"/>
    <col min="12" max="12" width="3.140625" style="44" customWidth="1"/>
    <col min="13" max="13" width="4.28515625" style="44" customWidth="1"/>
    <col min="14" max="16384" width="9.140625" style="44"/>
  </cols>
  <sheetData>
    <row r="1" spans="1:13" ht="26.45" customHeight="1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26.45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 ht="26.45" customHeight="1" x14ac:dyDescent="0.25">
      <c r="A3" s="43"/>
      <c r="B3" s="88" t="s">
        <v>120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43"/>
    </row>
    <row r="4" spans="1:13" ht="26.45" customHeight="1" x14ac:dyDescent="0.25">
      <c r="A4" s="43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43"/>
    </row>
    <row r="5" spans="1:13" ht="26.45" customHeight="1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3" ht="26.45" customHeight="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3" ht="26.45" customHeight="1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</row>
    <row r="8" spans="1:13" ht="26.45" customHeight="1" x14ac:dyDescent="0.25">
      <c r="A8" s="43"/>
      <c r="B8" s="90" t="s">
        <v>23</v>
      </c>
      <c r="C8" s="91"/>
      <c r="D8" s="91"/>
      <c r="E8" s="91"/>
      <c r="F8" s="92"/>
      <c r="G8" s="46" t="s">
        <v>149</v>
      </c>
      <c r="H8" s="47"/>
      <c r="I8" s="46" t="s">
        <v>150</v>
      </c>
      <c r="J8" s="47"/>
      <c r="K8" s="52" t="s">
        <v>141</v>
      </c>
      <c r="L8" s="47"/>
      <c r="M8" s="43"/>
    </row>
    <row r="9" spans="1:13" ht="26.45" customHeight="1" x14ac:dyDescent="0.25">
      <c r="A9" s="43"/>
      <c r="B9" s="105" t="s">
        <v>17</v>
      </c>
      <c r="C9" s="106"/>
      <c r="D9" s="106"/>
      <c r="E9" s="106"/>
      <c r="F9" s="107"/>
      <c r="G9" s="7">
        <v>-18902312</v>
      </c>
      <c r="H9" s="8" t="s">
        <v>2</v>
      </c>
      <c r="I9" s="7">
        <v>0</v>
      </c>
      <c r="J9" s="8" t="s">
        <v>2</v>
      </c>
      <c r="K9" s="7">
        <f>+G9+I9</f>
        <v>-18902312</v>
      </c>
      <c r="L9" s="8" t="s">
        <v>2</v>
      </c>
      <c r="M9" s="43"/>
    </row>
    <row r="10" spans="1:13" ht="26.45" customHeight="1" x14ac:dyDescent="0.25">
      <c r="A10" s="43"/>
      <c r="B10" s="105" t="s">
        <v>43</v>
      </c>
      <c r="C10" s="106"/>
      <c r="D10" s="106"/>
      <c r="E10" s="106"/>
      <c r="F10" s="107"/>
      <c r="G10" s="7">
        <v>-18902312</v>
      </c>
      <c r="H10" s="8" t="s">
        <v>2</v>
      </c>
      <c r="I10" s="7">
        <v>0</v>
      </c>
      <c r="J10" s="8" t="s">
        <v>2</v>
      </c>
      <c r="K10" s="7">
        <f>+G10+I10</f>
        <v>-18902312</v>
      </c>
      <c r="L10" s="8" t="s">
        <v>2</v>
      </c>
      <c r="M10" s="43"/>
    </row>
    <row r="11" spans="1:13" ht="26.25" x14ac:dyDescent="0.25">
      <c r="A11" s="43"/>
      <c r="B11" s="108" t="s">
        <v>20</v>
      </c>
      <c r="C11" s="109"/>
      <c r="D11" s="109"/>
      <c r="E11" s="109"/>
      <c r="F11" s="110"/>
      <c r="G11" s="63">
        <f>G9-G10</f>
        <v>0</v>
      </c>
      <c r="H11" s="64" t="s">
        <v>2</v>
      </c>
      <c r="I11" s="63">
        <f>I9-I10</f>
        <v>0</v>
      </c>
      <c r="J11" s="64" t="s">
        <v>2</v>
      </c>
      <c r="K11" s="63">
        <f>K9-K10</f>
        <v>0</v>
      </c>
      <c r="L11" s="64" t="s">
        <v>2</v>
      </c>
      <c r="M11" s="43"/>
    </row>
    <row r="12" spans="1:13" ht="26.45" customHeight="1" x14ac:dyDescent="0.25">
      <c r="A12" s="43"/>
      <c r="B12" s="105" t="s">
        <v>18</v>
      </c>
      <c r="C12" s="106"/>
      <c r="D12" s="106"/>
      <c r="E12" s="106"/>
      <c r="F12" s="107"/>
      <c r="G12" s="7">
        <v>0</v>
      </c>
      <c r="H12" s="8" t="s">
        <v>36</v>
      </c>
      <c r="I12" s="7">
        <v>0</v>
      </c>
      <c r="J12" s="8" t="s">
        <v>36</v>
      </c>
      <c r="K12" s="7">
        <v>0</v>
      </c>
      <c r="L12" s="8" t="s">
        <v>36</v>
      </c>
      <c r="M12" s="43"/>
    </row>
    <row r="13" spans="1:13" ht="26.25" x14ac:dyDescent="0.25">
      <c r="A13" s="43"/>
      <c r="B13" s="90" t="s">
        <v>16</v>
      </c>
      <c r="C13" s="91"/>
      <c r="D13" s="91"/>
      <c r="E13" s="91"/>
      <c r="F13" s="92"/>
      <c r="G13" s="22">
        <f>IF(G12 = 0,0,G11/G12)</f>
        <v>0</v>
      </c>
      <c r="H13" s="23" t="s">
        <v>2</v>
      </c>
      <c r="I13" s="22">
        <f>IF(I12 = 0,0,I11/I12)</f>
        <v>0</v>
      </c>
      <c r="J13" s="23" t="s">
        <v>2</v>
      </c>
      <c r="K13" s="22">
        <f>IF(K12 = 0,0,K11/K12)</f>
        <v>0</v>
      </c>
      <c r="L13" s="23" t="s">
        <v>2</v>
      </c>
      <c r="M13" s="43"/>
    </row>
    <row r="14" spans="1:13" ht="26.45" customHeight="1" x14ac:dyDescent="0.25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</row>
    <row r="15" spans="1:13" ht="26.45" customHeight="1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</row>
    <row r="16" spans="1:13" ht="26.45" customHeight="1" x14ac:dyDescent="0.25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</row>
    <row r="17" spans="1:13" ht="26.45" customHeight="1" x14ac:dyDescent="0.25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</row>
    <row r="18" spans="1:13" ht="26.45" customHeight="1" x14ac:dyDescent="0.2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</row>
    <row r="19" spans="1:13" ht="26.45" customHeight="1" x14ac:dyDescent="0.2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</row>
    <row r="20" spans="1:13" ht="26.45" customHeight="1" x14ac:dyDescent="0.2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</row>
    <row r="21" spans="1:13" ht="26.45" customHeight="1" x14ac:dyDescent="0.25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</row>
    <row r="22" spans="1:13" ht="26.45" customHeight="1" x14ac:dyDescent="0.2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</row>
    <row r="23" spans="1:13" ht="26.45" customHeight="1" x14ac:dyDescent="0.25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</row>
    <row r="24" spans="1:13" ht="26.45" customHeight="1" x14ac:dyDescent="0.2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</row>
    <row r="25" spans="1:13" ht="26.45" customHeight="1" x14ac:dyDescent="0.2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</row>
    <row r="26" spans="1:13" ht="26.45" customHeight="1" x14ac:dyDescent="0.2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</row>
    <row r="27" spans="1:13" ht="26.45" customHeight="1" x14ac:dyDescent="0.2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</row>
    <row r="28" spans="1:13" ht="26.45" customHeight="1" x14ac:dyDescent="0.25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</row>
    <row r="29" spans="1:13" ht="26.45" customHeight="1" x14ac:dyDescent="0.2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</row>
    <row r="30" spans="1:13" ht="26.45" customHeight="1" x14ac:dyDescent="0.25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</row>
    <row r="31" spans="1:13" ht="26.45" customHeight="1" x14ac:dyDescent="0.2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</row>
    <row r="32" spans="1:13" ht="26.45" customHeight="1" x14ac:dyDescent="0.25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</row>
    <row r="33" spans="1:13" ht="26.45" customHeight="1" x14ac:dyDescent="0.2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</row>
    <row r="34" spans="1:13" ht="26.45" customHeight="1" x14ac:dyDescent="0.2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</row>
    <row r="35" spans="1:13" ht="26.45" customHeight="1" x14ac:dyDescent="0.2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</row>
    <row r="36" spans="1:13" ht="26.45" customHeight="1" x14ac:dyDescent="0.25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</row>
    <row r="37" spans="1:13" ht="26.45" customHeight="1" x14ac:dyDescent="0.25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</row>
    <row r="38" spans="1:13" ht="26.45" customHeight="1" x14ac:dyDescent="0.2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</row>
    <row r="39" spans="1:13" ht="26.45" customHeight="1" x14ac:dyDescent="0.25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</row>
    <row r="40" spans="1:13" ht="26.45" customHeight="1" x14ac:dyDescent="0.25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</row>
    <row r="41" spans="1:13" ht="26.45" customHeight="1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</row>
    <row r="42" spans="1:13" ht="26.45" customHeight="1" x14ac:dyDescent="0.25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</row>
    <row r="43" spans="1:13" ht="26.45" customHeight="1" x14ac:dyDescent="0.25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</row>
    <row r="44" spans="1:13" ht="26.45" customHeight="1" x14ac:dyDescent="0.25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</row>
    <row r="45" spans="1:13" ht="26.45" customHeight="1" x14ac:dyDescent="0.25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</row>
    <row r="46" spans="1:13" ht="26.45" customHeight="1" x14ac:dyDescent="0.25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</row>
    <row r="47" spans="1:13" ht="26.45" customHeight="1" x14ac:dyDescent="0.25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</row>
    <row r="48" spans="1:13" ht="26.45" customHeight="1" x14ac:dyDescent="0.25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</row>
    <row r="49" spans="1:13" ht="26.45" customHeight="1" x14ac:dyDescent="0.2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</row>
    <row r="50" spans="1:13" ht="26.45" customHeight="1" x14ac:dyDescent="0.2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</row>
  </sheetData>
  <sheetProtection algorithmName="SHA-512" hashValue="RMT5oT4gzs/BqL7vN00MesZj55Yt1Y0wdhT/3YLmbK2nfm+KiCMFX4W4xfRVxoyNe1XRuYzL3TRv7n0TstcwOA==" saltValue="g7R2wB/3j3T2gQ3TwaFzBA==" spinCount="100000" sheet="1" objects="1" scenarios="1"/>
  <mergeCells count="7">
    <mergeCell ref="B13:F13"/>
    <mergeCell ref="B3:L4"/>
    <mergeCell ref="B9:F9"/>
    <mergeCell ref="B10:F10"/>
    <mergeCell ref="B12:F12"/>
    <mergeCell ref="B11:F11"/>
    <mergeCell ref="B8:F8"/>
  </mergeCells>
  <pageMargins left="0.40277777777777779" right="0.37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Laurids Rudbeck Røge</cp:lastModifiedBy>
  <cp:lastPrinted>2016-06-14T12:57:30Z</cp:lastPrinted>
  <dcterms:created xsi:type="dcterms:W3CDTF">2016-06-02T08:51:18Z</dcterms:created>
  <dcterms:modified xsi:type="dcterms:W3CDTF">2020-07-03T08:04:38Z</dcterms:modified>
</cp:coreProperties>
</file>