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miljø Randers AS (V15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E10" i="2"/>
  <c r="E14" i="6"/>
  <c r="C11" i="12" l="1"/>
  <c r="C12" i="12" s="1"/>
  <c r="C15" i="7"/>
  <c r="C16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<sst xmlns="http://schemas.openxmlformats.org/spreadsheetml/2006/main" count="410" uniqueCount="156">
  <si>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</si>
  <si>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</si>
  <si>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</si>
  <si>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</si>
  <si>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</si>
  <si>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</si>
  <si>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</si>
  <si>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</si>
  <si>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</si>
  <si>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</si>
  <si>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</si>
  <si>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</si>
  <si>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</si>
  <si>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</si>
  <si>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</si>
  <si>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</si>
  <si>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</si>
  <si>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</si>
  <si>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</si>
  <si>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</si>
  <si>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</si>
  <si>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</si>
  <si>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</si>
  <si>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</si>
  <si>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</si>
  <si>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</si>
  <si>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</si>
  <si>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</si>
  <si>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</si>
  <si>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</si>
  <si>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</si>
  <si>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</si>
  <si>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</si>
  <si>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</si>
  <si>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</si>
  <si>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</si>
  <si>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</si>
  <si>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</si>
  <si>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</si>
  <si>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</si>
  <si>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</si>
  <si>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</si>
  <si>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</si>
  <si>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</si>
  <si>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</si>
  <si>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</si>
  <si>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</si>
  <si>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</si>
  <si>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</si>
  <si>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</si>
  <si>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</si>
  <si>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</si>
  <si>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</si>
  <si>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</si>
  <si>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</si>
  <si>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</si>
  <si>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</si>
  <si>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</si>
  <si>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</si>
  <si>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</si>
  <si>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</si>
  <si>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</si>
  <si>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</si>
  <si>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</si>
  <si>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</si>
  <si>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</si>
  <si>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</si>
  <si>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</si>
  <si>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</si>
  <si>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</si>
  <si>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</si>
  <si>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</si>
  <si>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</si>
  <si>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</si>
  <si>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</si>
  <si>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</si>
  <si>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</si>
  <si>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</si>
  <si>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</si>
  <si>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</si>
  <si>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</si>
  <si>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</si>
  <si>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</si>
  <si>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</si>
  <si>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</si>
  <si>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</si>
  <si>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</si>
  <si>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</si>
  <si>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</si>
  <si>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</si>
  <si>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</si>
  <si>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</si>
  <si>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</si>
  <si>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</si>
  <si>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</si>
  <si>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</si>
  <si>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</si>
  <si>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</si>
  <si>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</si>
  <si>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</si>
  <si>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</si>
  <si>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</si>
  <si>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</si>
  <si>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</si>
  <si>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</si>
  <si>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</si>
  <si>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</si>
  <si>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</si>
  <si>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</si>
  <si>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</si>
  <si>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</si>
  <si>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</si>
  <si>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</si>
  <si>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</si>
  <si>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</si>
  <si>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</si>
  <si>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</si>
  <si>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</si>
  <si>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</si>
  <si>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</si>
  <si>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</si>
  <si>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</si>
  <si>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</si>
  <si>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</si>
  <si>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</si>
  <si>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</si>
  <si>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</si>
  <si>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</si>
  <si>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</si>
  <si>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</si>
  <si>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</si>
  <si>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</si>
  <si>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</si>
  <si>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</si>
  <si>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</si>
  <si>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</si>
  <si>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</si>
  <si>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</si>
  <si>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</si>
  <si>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</si>
  <si>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</si>
  <si>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</si>
  <si>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</si>
  <si>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</si>
  <si>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</si>
  <si>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</si>
  <si>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</si>
  <si>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Flytning af forsyningsledning, Lathyrusvej</t>
  </si>
  <si>
    <t>Ingen anlægsprojekter</t>
  </si>
  <si>
    <t>Ingen engangstillæg</t>
  </si>
  <si>
    <t>Afgift for ledningsført vand</t>
  </si>
  <si>
    <t>Afgift til Forsyningssekretariatet</t>
  </si>
  <si>
    <t>Ejendomsskat</t>
  </si>
  <si>
    <t>Vandsamarbejde etableret i medfør af § 52b i vandforsyningsloven</t>
  </si>
  <si>
    <t>Fane 5: Kontrol med overholdelse af den økonomiske ramme for 2020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</si>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</sst>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4" t="s">
        <v>94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87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15</v>
      </c>
      <c r="D14" s="69" t="s">
        <v>37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32</v>
      </c>
      <c r="D15" s="69" t="s">
        <v>63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33</v>
      </c>
      <c r="D16" s="69" t="s">
        <v>95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59</v>
      </c>
      <c r="D17" s="69" t="s">
        <v>96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7</v>
      </c>
      <c r="D18" s="66" t="s">
        <v>12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8</v>
      </c>
      <c r="D19" s="60" t="s">
        <v>97</v>
      </c>
      <c r="E19" s="61"/>
      <c r="F19" s="61"/>
      <c r="G19" s="62"/>
      <c r="H19" s="1"/>
      <c r="I19" s="1"/>
    </row>
    <row r="20" spans="1:9" x14ac:dyDescent="0.25">
      <c r="A20" s="1"/>
      <c r="B20" s="1"/>
      <c r="C20" s="6" t="s">
        <v>56</v>
      </c>
      <c r="D20" s="60" t="s">
        <v>34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82</v>
      </c>
      <c r="D21" s="60" t="s">
        <v>41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83</v>
      </c>
      <c r="D22" s="60" t="s">
        <v>42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84</v>
      </c>
      <c r="D23" s="60" t="s">
        <v>64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35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50</v>
      </c>
      <c r="D25" s="63" t="s">
        <v>57</v>
      </c>
      <c r="E25" s="64"/>
      <c r="F25" s="64"/>
      <c r="G25" s="6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S3+N0osUVEijwfQcq2iCRKKpf9SoU6luQEfhhxsFqOka/xvl5ErW/28a0Ik9C8XxdS0IcPNvXN5d+T23QA7lw==" saltValue="Ft+z3ReVhKvKIF++zLcqx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89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38" t="s">
        <v>147</v>
      </c>
      <c r="C11" s="19">
        <v>0</v>
      </c>
      <c r="D11" s="12" t="s">
        <v>3</v>
      </c>
      <c r="E11" s="8">
        <v>2316</v>
      </c>
      <c r="F11" s="12" t="s">
        <v>3</v>
      </c>
      <c r="G11" s="1"/>
    </row>
    <row r="12" spans="1:7" x14ac:dyDescent="0.25">
      <c r="A12" s="1"/>
      <c r="B12" s="57" t="s">
        <v>69</v>
      </c>
      <c r="C12" s="10">
        <f>SUM(C10:C11)</f>
        <v>0</v>
      </c>
      <c r="D12" s="11" t="s">
        <v>3</v>
      </c>
      <c r="E12" s="10">
        <f>SUM(E10:E11)</f>
        <v>2316</v>
      </c>
      <c r="F12" s="11" t="s">
        <v>3</v>
      </c>
      <c r="G12" s="1"/>
    </row>
    <row r="13" spans="1:7" x14ac:dyDescent="0.25">
      <c r="A13" s="1"/>
      <c r="B13" s="57" t="s">
        <v>110</v>
      </c>
      <c r="C13" s="10">
        <f>C12*(1+'Fane 10. Nøgletal'!C14)</f>
        <v>0</v>
      </c>
      <c r="D13" s="11" t="s">
        <v>3</v>
      </c>
      <c r="E13" s="10">
        <f>E12*(1+'Fane 10. Nøgletal'!C14)</f>
        <v>2323.6428000000001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WRXMbn2NLrH9SrI+x5T7TEpTcd7HCGOuHV17RpPVTcQF/zf+5d0ifesH+JJ0GdOcHg4oYMbPZoJ5yZrVBqKEg==" saltValue="ffHrPvXf1tFTp2GFqwQwp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51</v>
      </c>
      <c r="C8" s="91"/>
      <c r="D8" s="91"/>
      <c r="E8" s="91"/>
      <c r="F8" s="92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25">
      <c r="A10" s="1"/>
      <c r="B10" s="20" t="s">
        <v>149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0" t="s">
        <v>52</v>
      </c>
      <c r="C15" s="91"/>
      <c r="D15" s="91"/>
      <c r="E15" s="91"/>
      <c r="F15" s="92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25">
      <c r="A17" s="1"/>
      <c r="B17" s="20" t="s">
        <v>149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0" t="s">
        <v>77</v>
      </c>
      <c r="C22" s="91"/>
      <c r="D22" s="91"/>
      <c r="E22" s="91"/>
      <c r="F22" s="92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25">
      <c r="A24" s="1"/>
      <c r="B24" s="20" t="s">
        <v>149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0" t="s">
        <v>112</v>
      </c>
      <c r="C29" s="91"/>
      <c r="D29" s="91"/>
      <c r="E29" s="91"/>
      <c r="F29" s="92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25">
      <c r="A31" s="1"/>
      <c r="B31" s="20" t="s">
        <v>149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8t+76U4TATEbrQlq5GKO7qNss97LJ2PvXHPJZYDeMiJLTA8sfAKIWw4gi/3oWJW79xUnmPg5j5zdatVkxMTgDQ==" saltValue="mbcOEozXm3z785HIRcgZC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91</v>
      </c>
      <c r="C3" s="77"/>
      <c r="D3" s="77"/>
      <c r="E3" s="77"/>
      <c r="F3" s="77"/>
      <c r="G3" s="1"/>
    </row>
    <row r="4" spans="1:7" ht="25.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71</v>
      </c>
      <c r="C8" s="91"/>
      <c r="D8" s="91"/>
      <c r="E8" s="91"/>
      <c r="F8" s="92"/>
      <c r="G8" s="1"/>
    </row>
    <row r="9" spans="1:7" ht="15" customHeight="1" x14ac:dyDescent="0.25">
      <c r="A9" s="1"/>
      <c r="B9" s="55" t="s">
        <v>78</v>
      </c>
      <c r="C9" s="106" t="s">
        <v>11</v>
      </c>
      <c r="D9" s="107"/>
      <c r="E9" s="106" t="s">
        <v>28</v>
      </c>
      <c r="F9" s="107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PpBukqtZySHInmwRNVp3C9liCfjD0bxkIQu3Uf/aM11Q/XwmnRTxulTdQWdRyG3UeOEfbGuginkRdVj9vqxpw==" saltValue="IpOrqxxYUEr5MVEicmX7x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92</v>
      </c>
      <c r="C3" s="77"/>
      <c r="D3" s="77"/>
      <c r="E3" s="77"/>
      <c r="F3" s="77"/>
      <c r="G3" s="1"/>
    </row>
    <row r="4" spans="1:7" ht="25.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48</v>
      </c>
      <c r="C8" s="91"/>
      <c r="D8" s="91"/>
      <c r="E8" s="91"/>
      <c r="F8" s="92"/>
      <c r="G8" s="1"/>
    </row>
    <row r="9" spans="1:7" ht="15" customHeight="1" x14ac:dyDescent="0.2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2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49</v>
      </c>
      <c r="C14" s="91"/>
      <c r="D14" s="91"/>
      <c r="E14" s="91"/>
      <c r="F14" s="92"/>
      <c r="G14" s="1"/>
    </row>
    <row r="15" spans="1:7" ht="26.25" x14ac:dyDescent="0.2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25">
      <c r="A16" s="1"/>
      <c r="B16" s="20" t="s">
        <v>130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73</v>
      </c>
      <c r="C20" s="91"/>
      <c r="D20" s="91"/>
      <c r="E20" s="91"/>
      <c r="F20" s="92"/>
      <c r="G20" s="1"/>
    </row>
    <row r="21" spans="1:7" ht="26.25" x14ac:dyDescent="0.2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25">
      <c r="A22" s="1"/>
      <c r="B22" s="20" t="s">
        <v>130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116</v>
      </c>
      <c r="C26" s="91"/>
      <c r="D26" s="91"/>
      <c r="E26" s="91"/>
      <c r="F26" s="92"/>
      <c r="G26" s="1"/>
    </row>
    <row r="27" spans="1:7" ht="26.25" x14ac:dyDescent="0.2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25">
      <c r="A28" s="1"/>
      <c r="B28" s="20" t="s">
        <v>130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NHv91dH2vZPcg4CeU8dkBSigJ4IM3abP15nb5bmQhCnSyqyUfWe46KDxiDsjgelgaP2NN32kt5+53ywj7fyOg==" saltValue="Hlg6uci0jqgrjDp9xzouA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7" t="s">
        <v>93</v>
      </c>
      <c r="C3" s="77"/>
      <c r="D3" s="1"/>
    </row>
    <row r="4" spans="1:4" ht="25.5" customHeight="1" x14ac:dyDescent="0.25">
      <c r="A4" s="1"/>
      <c r="B4" s="77"/>
      <c r="C4" s="7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7" t="s">
        <v>14</v>
      </c>
      <c r="C8" s="58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7"/>
      <c r="C15" s="5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7" t="s">
        <v>54</v>
      </c>
      <c r="C18" s="58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8"/>
      <c r="C20" s="109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8iawPCSrEf2GoR5iwyUPKTJJ1T1FrL5voQtekCHStFRguqT8qSbYkrKJXf2pMh7Riy3FQrAYjv+I9cTqOAtCvA==" saltValue="yGT52AZtTQpwqHDq2NwB7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</v>
      </c>
      <c r="C8" s="43"/>
      <c r="D8" s="43"/>
      <c r="E8" s="43"/>
      <c r="F8" s="43"/>
      <c r="G8" s="1"/>
    </row>
    <row r="9" spans="1:7" x14ac:dyDescent="0.25">
      <c r="A9" s="1"/>
      <c r="B9" s="40" t="s">
        <v>24</v>
      </c>
      <c r="C9" s="40"/>
      <c r="D9" s="40"/>
      <c r="E9" s="7">
        <f>'Fane 3. Omkostninger i ØR2021'!E16</f>
        <v>3225520.0227641109</v>
      </c>
      <c r="F9" s="40" t="s">
        <v>3</v>
      </c>
      <c r="G9" s="1"/>
    </row>
    <row r="10" spans="1:7" ht="17.100000000000001" customHeight="1" x14ac:dyDescent="0.25">
      <c r="A10" s="1"/>
      <c r="B10" s="33" t="s">
        <v>121</v>
      </c>
      <c r="C10" s="40"/>
      <c r="D10" s="40"/>
      <c r="E10" s="7">
        <f>'Fane 3. Omkostninger i ØR2021'!E13*(1-'Fane 10. Nøgletal'!C19)*(1+'Fane 10. Nøgletal'!C13)</f>
        <v>0</v>
      </c>
      <c r="F10" s="40" t="s">
        <v>3</v>
      </c>
      <c r="G10" s="1"/>
    </row>
    <row r="11" spans="1:7" ht="17.100000000000001" customHeight="1" x14ac:dyDescent="0.25">
      <c r="A11" s="1"/>
      <c r="B11" s="29" t="s">
        <v>60</v>
      </c>
      <c r="C11" s="40"/>
      <c r="D11" s="40"/>
      <c r="E11" s="7">
        <f>'Fane 7.1. Varige tillæg'!C13+'Fane 7.1. Varige tillæg'!E13</f>
        <v>2323.6428000000001</v>
      </c>
      <c r="F11" s="40" t="s">
        <v>3</v>
      </c>
      <c r="G11" s="1"/>
    </row>
    <row r="12" spans="1:7" ht="17.100000000000001" customHeight="1" x14ac:dyDescent="0.25">
      <c r="A12" s="1"/>
      <c r="B12" s="29" t="s">
        <v>62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25">
      <c r="A13" s="1"/>
      <c r="B13" s="29" t="s">
        <v>65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25">
      <c r="A14" s="1"/>
      <c r="B14" s="29" t="s">
        <v>18</v>
      </c>
      <c r="C14" s="40"/>
      <c r="D14" s="40"/>
      <c r="E14" s="8">
        <f>E9*'Fane 10. Nøgletal'!C13+SUM(E11:E13)*'Fane 10. Nøgletal'!C14</f>
        <v>39359.01229896216</v>
      </c>
      <c r="F14" s="40" t="s">
        <v>3</v>
      </c>
      <c r="G14" s="1"/>
    </row>
    <row r="15" spans="1:7" ht="17.100000000000001" customHeight="1" x14ac:dyDescent="0.25">
      <c r="A15" s="1"/>
      <c r="B15" s="29" t="s">
        <v>54</v>
      </c>
      <c r="C15" s="40"/>
      <c r="D15" s="40"/>
      <c r="E15" s="8">
        <f>-SUM(E9,E11:E14)*'Fane 10. Nøgletal'!C19</f>
        <v>-55542.44552367225</v>
      </c>
      <c r="F15" s="40" t="s">
        <v>3</v>
      </c>
      <c r="G15" s="1"/>
    </row>
    <row r="16" spans="1:7" ht="15" customHeight="1" x14ac:dyDescent="0.25">
      <c r="A16" s="1"/>
      <c r="B16" s="54" t="s">
        <v>20</v>
      </c>
      <c r="C16" s="42"/>
      <c r="D16" s="42"/>
      <c r="E16" s="9">
        <f>SUM(E9,E11:E15)</f>
        <v>3211660.2323394008</v>
      </c>
      <c r="F16" s="44" t="s">
        <v>3</v>
      </c>
      <c r="G16" s="1"/>
    </row>
    <row r="17" spans="1:7" ht="15" customHeight="1" x14ac:dyDescent="0.25">
      <c r="A17" s="1"/>
      <c r="B17" s="43" t="s">
        <v>12</v>
      </c>
      <c r="C17" s="43"/>
      <c r="D17" s="43"/>
      <c r="E17" s="43"/>
      <c r="F17" s="43"/>
      <c r="G17" s="1"/>
    </row>
    <row r="18" spans="1:7" ht="15" customHeight="1" x14ac:dyDescent="0.25">
      <c r="A18" s="1"/>
      <c r="B18" s="44" t="s">
        <v>12</v>
      </c>
      <c r="C18" s="44"/>
      <c r="D18" s="44"/>
      <c r="E18" s="9">
        <f>'Fane 4. Ikke-påvirkelige omk.'!C16</f>
        <v>2248054.3969080206</v>
      </c>
      <c r="F18" s="44" t="s">
        <v>3</v>
      </c>
      <c r="G18" s="1"/>
    </row>
    <row r="19" spans="1:7" ht="15" customHeight="1" x14ac:dyDescent="0.25">
      <c r="A19" s="1"/>
      <c r="B19" s="43" t="s">
        <v>42</v>
      </c>
      <c r="C19" s="43"/>
      <c r="D19" s="43"/>
      <c r="E19" s="43"/>
      <c r="F19" s="43"/>
      <c r="G19" s="1"/>
    </row>
    <row r="20" spans="1:7" ht="15" customHeight="1" x14ac:dyDescent="0.25">
      <c r="A20" s="1"/>
      <c r="B20" s="29" t="s">
        <v>39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25">
      <c r="A21" s="1"/>
      <c r="B21" s="29" t="s">
        <v>40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25">
      <c r="A22" s="1"/>
      <c r="B22" s="54" t="s">
        <v>43</v>
      </c>
      <c r="C22" s="42"/>
      <c r="D22" s="42"/>
      <c r="E22" s="9">
        <f>SUM(E20:E21)</f>
        <v>0</v>
      </c>
      <c r="F22" s="44" t="s">
        <v>3</v>
      </c>
      <c r="G22" s="1"/>
    </row>
    <row r="23" spans="1:7" x14ac:dyDescent="0.25">
      <c r="A23" s="1"/>
      <c r="B23" s="43" t="s">
        <v>85</v>
      </c>
      <c r="C23" s="43"/>
      <c r="D23" s="43"/>
      <c r="E23" s="43"/>
      <c r="F23" s="43"/>
      <c r="G23" s="1"/>
    </row>
    <row r="24" spans="1:7" x14ac:dyDescent="0.25">
      <c r="A24" s="1"/>
      <c r="B24" s="54" t="s">
        <v>31</v>
      </c>
      <c r="C24" s="42"/>
      <c r="D24" s="42"/>
      <c r="E24" s="9">
        <v>286765.13091468182</v>
      </c>
      <c r="F24" s="44" t="s">
        <v>3</v>
      </c>
      <c r="G24" s="1"/>
    </row>
    <row r="25" spans="1:7" x14ac:dyDescent="0.25">
      <c r="A25" s="1"/>
      <c r="B25" s="54" t="s">
        <v>86</v>
      </c>
      <c r="C25" s="42"/>
      <c r="D25" s="42"/>
      <c r="E25" s="9">
        <f>'Fane 5. Kontrol af ØR2020'!E29</f>
        <v>0</v>
      </c>
      <c r="F25" s="44" t="s">
        <v>3</v>
      </c>
      <c r="G25" s="1"/>
    </row>
    <row r="26" spans="1:7" x14ac:dyDescent="0.25">
      <c r="A26" s="1"/>
      <c r="B26" s="43" t="s">
        <v>144</v>
      </c>
      <c r="C26" s="43"/>
      <c r="D26" s="43"/>
      <c r="E26" s="43"/>
      <c r="F26" s="43"/>
      <c r="G26" s="1"/>
    </row>
    <row r="27" spans="1:7" x14ac:dyDescent="0.25">
      <c r="A27" s="1"/>
      <c r="B27" s="44" t="s">
        <v>145</v>
      </c>
      <c r="C27" s="44"/>
      <c r="D27" s="44"/>
      <c r="E27" s="9">
        <v>0</v>
      </c>
      <c r="F27" s="44" t="s">
        <v>3</v>
      </c>
      <c r="G27" s="1"/>
    </row>
    <row r="28" spans="1:7" x14ac:dyDescent="0.25">
      <c r="A28" s="1"/>
      <c r="B28" s="43" t="s">
        <v>26</v>
      </c>
      <c r="C28" s="43"/>
      <c r="D28" s="43"/>
      <c r="E28" s="10">
        <f>SUM(E16,E18,E22,E24,E25,E27)</f>
        <v>5746479.760162103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iALtpen1JNvGMOZSVshY34/cq+Yn8xehPtXIuAbScr+HegmEHZohWBN6BFYa9rYMunhFNvIaKJjQNGYC0HhwKw==" saltValue="MREObTbX5252KnURBdfrj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99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101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</v>
      </c>
      <c r="C8" s="43"/>
      <c r="D8" s="43"/>
      <c r="E8" s="43"/>
      <c r="F8" s="43"/>
      <c r="G8" s="1"/>
    </row>
    <row r="9" spans="1:7" ht="15" customHeight="1" x14ac:dyDescent="0.25">
      <c r="A9" s="1"/>
      <c r="B9" s="40" t="s">
        <v>66</v>
      </c>
      <c r="C9" s="40"/>
      <c r="D9" s="40"/>
      <c r="E9" s="7">
        <f>'Fane 2.1. Økonomisk ramme 2022'!E16</f>
        <v>3211660.2323394008</v>
      </c>
      <c r="F9" s="40" t="s">
        <v>3</v>
      </c>
      <c r="G9" s="1"/>
    </row>
    <row r="10" spans="1:7" ht="15" customHeight="1" x14ac:dyDescent="0.25">
      <c r="A10" s="1"/>
      <c r="B10" s="29" t="s">
        <v>62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25">
      <c r="A11" s="1"/>
      <c r="B11" s="41" t="s">
        <v>18</v>
      </c>
      <c r="C11" s="40"/>
      <c r="D11" s="40"/>
      <c r="E11" s="8">
        <f>SUM(E9:E10)*'Fane 10. Nøgletal'!C14</f>
        <v>10598.478766720022</v>
      </c>
      <c r="F11" s="40" t="s">
        <v>3</v>
      </c>
      <c r="G11" s="1"/>
    </row>
    <row r="12" spans="1:7" ht="15" customHeight="1" x14ac:dyDescent="0.25">
      <c r="A12" s="1"/>
      <c r="B12" s="41" t="s">
        <v>54</v>
      </c>
      <c r="C12" s="40"/>
      <c r="D12" s="40"/>
      <c r="E12" s="8">
        <f>-SUM(E9:E11)*'Fane 10. Nøgletal'!C19</f>
        <v>-54778.398088804053</v>
      </c>
      <c r="F12" s="40" t="s">
        <v>3</v>
      </c>
      <c r="G12" s="1"/>
    </row>
    <row r="13" spans="1:7" ht="15" customHeight="1" x14ac:dyDescent="0.25">
      <c r="A13" s="1"/>
      <c r="B13" s="42" t="s">
        <v>20</v>
      </c>
      <c r="C13" s="42"/>
      <c r="D13" s="42"/>
      <c r="E13" s="9">
        <f>SUM(E9:E12)</f>
        <v>3167480.3130173166</v>
      </c>
      <c r="F13" s="44" t="s">
        <v>3</v>
      </c>
      <c r="G13" s="1"/>
    </row>
    <row r="14" spans="1:7" x14ac:dyDescent="0.25">
      <c r="A14" s="1"/>
      <c r="B14" s="43" t="s">
        <v>12</v>
      </c>
      <c r="C14" s="43"/>
      <c r="D14" s="43"/>
      <c r="E14" s="43"/>
      <c r="F14" s="43"/>
      <c r="G14" s="1"/>
    </row>
    <row r="15" spans="1:7" ht="15" customHeight="1" x14ac:dyDescent="0.25">
      <c r="A15" s="1"/>
      <c r="B15" s="44" t="s">
        <v>12</v>
      </c>
      <c r="C15" s="44"/>
      <c r="D15" s="44"/>
      <c r="E15" s="9">
        <f>'Fane 4. Ikke-påvirkelige omk.'!C16*(1+'Fane 10. Nøgletal'!C14)</f>
        <v>2255472.9764178172</v>
      </c>
      <c r="F15" s="44" t="s">
        <v>3</v>
      </c>
      <c r="G15" s="1"/>
    </row>
    <row r="16" spans="1:7" ht="15" customHeight="1" x14ac:dyDescent="0.25">
      <c r="A16" s="1"/>
      <c r="B16" s="43" t="s">
        <v>42</v>
      </c>
      <c r="C16" s="43"/>
      <c r="D16" s="43"/>
      <c r="E16" s="43"/>
      <c r="F16" s="43"/>
      <c r="G16" s="1"/>
    </row>
    <row r="17" spans="1:7" ht="15" customHeight="1" x14ac:dyDescent="0.25">
      <c r="A17" s="1"/>
      <c r="B17" s="29" t="s">
        <v>39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25">
      <c r="A18" s="1"/>
      <c r="B18" s="29" t="s">
        <v>40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25">
      <c r="A19" s="1"/>
      <c r="B19" s="54" t="s">
        <v>43</v>
      </c>
      <c r="C19" s="42"/>
      <c r="D19" s="42"/>
      <c r="E19" s="9">
        <f>SUM(E17:E18)</f>
        <v>0</v>
      </c>
      <c r="F19" s="44" t="s">
        <v>3</v>
      </c>
      <c r="G19" s="1"/>
    </row>
    <row r="20" spans="1:7" x14ac:dyDescent="0.25">
      <c r="A20" s="1"/>
      <c r="B20" s="43" t="s">
        <v>85</v>
      </c>
      <c r="C20" s="43"/>
      <c r="D20" s="43"/>
      <c r="E20" s="43"/>
      <c r="F20" s="43"/>
      <c r="G20" s="1"/>
    </row>
    <row r="21" spans="1:7" x14ac:dyDescent="0.25">
      <c r="A21" s="1"/>
      <c r="B21" s="44" t="s">
        <v>146</v>
      </c>
      <c r="C21" s="44"/>
      <c r="D21" s="44"/>
      <c r="E21" s="9">
        <f>'Fane 5. Kontrol af ØR2020'!E35</f>
        <v>-35423.49379484239</v>
      </c>
      <c r="F21" s="44" t="s">
        <v>3</v>
      </c>
      <c r="G21" s="1"/>
    </row>
    <row r="22" spans="1:7" x14ac:dyDescent="0.25">
      <c r="A22" s="1"/>
      <c r="B22" s="43" t="s">
        <v>47</v>
      </c>
      <c r="C22" s="43"/>
      <c r="D22" s="43"/>
      <c r="E22" s="10">
        <f>SUM(E13,E15,E19,E21)</f>
        <v>5387529.7956402907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N7mYzXqbBkHUuEEoPYiE7UnwST82TK9QVVUm0XXMqHdrpWTXIQwy7iJWirShhZEuVtdApej/EhkyjwUo6K4dRQ==" saltValue="Ptg3D5wr+H6A/8ZEn7IKl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21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25">
      <c r="A8" s="1"/>
      <c r="B8" s="40" t="s">
        <v>67</v>
      </c>
      <c r="C8" s="40"/>
      <c r="D8" s="40"/>
      <c r="E8" s="7">
        <f>'Fane 2.2. Økonomisk ramme 2023'!E13</f>
        <v>3167480.3130173166</v>
      </c>
      <c r="F8" s="40" t="s">
        <v>3</v>
      </c>
      <c r="G8" s="1"/>
    </row>
    <row r="9" spans="1:7" ht="15" customHeight="1" x14ac:dyDescent="0.25">
      <c r="A9" s="1"/>
      <c r="B9" s="40" t="s">
        <v>62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25">
      <c r="A10" s="1"/>
      <c r="B10" s="41" t="s">
        <v>18</v>
      </c>
      <c r="C10" s="40"/>
      <c r="D10" s="40"/>
      <c r="E10" s="8">
        <f>SUM(E8:E9)*'Fane 10. Nøgletal'!C14</f>
        <v>10452.685032957144</v>
      </c>
      <c r="F10" s="40" t="s">
        <v>3</v>
      </c>
      <c r="G10" s="1"/>
    </row>
    <row r="11" spans="1:7" ht="15" customHeight="1" x14ac:dyDescent="0.25">
      <c r="A11" s="1"/>
      <c r="B11" s="41" t="s">
        <v>54</v>
      </c>
      <c r="C11" s="40"/>
      <c r="D11" s="40"/>
      <c r="E11" s="8">
        <f>-SUM(E8:E10)*'Fane 10. Nøgletal'!C19</f>
        <v>-54024.860966854656</v>
      </c>
      <c r="F11" s="40" t="s">
        <v>3</v>
      </c>
      <c r="G11" s="1"/>
    </row>
    <row r="12" spans="1:7" x14ac:dyDescent="0.25">
      <c r="A12" s="1"/>
      <c r="B12" s="42" t="s">
        <v>20</v>
      </c>
      <c r="C12" s="42"/>
      <c r="D12" s="42"/>
      <c r="E12" s="9">
        <f>SUM(E8:E11)</f>
        <v>3123908.1370834191</v>
      </c>
      <c r="F12" s="44" t="s">
        <v>3</v>
      </c>
      <c r="G12" s="1"/>
    </row>
    <row r="13" spans="1:7" x14ac:dyDescent="0.2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25">
      <c r="A14" s="1"/>
      <c r="B14" s="44" t="s">
        <v>12</v>
      </c>
      <c r="C14" s="44"/>
      <c r="D14" s="44"/>
      <c r="E14" s="9">
        <f>'Fane 4. Ikke-påvirkelige omk.'!C16*(1+'Fane 10. Nøgletal'!C14)^2</f>
        <v>2262916.0372399963</v>
      </c>
      <c r="F14" s="44" t="s">
        <v>3</v>
      </c>
      <c r="G14" s="1"/>
    </row>
    <row r="15" spans="1:7" ht="15" customHeight="1" x14ac:dyDescent="0.2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25">
      <c r="A16" s="1"/>
      <c r="B16" s="29" t="s">
        <v>39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25">
      <c r="A17" s="1"/>
      <c r="B17" s="29" t="s">
        <v>40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25">
      <c r="A18" s="1"/>
      <c r="B18" s="54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2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25">
      <c r="A20" s="1"/>
      <c r="B20" s="44" t="s">
        <v>86</v>
      </c>
      <c r="C20" s="44"/>
      <c r="D20" s="44"/>
      <c r="E20" s="9">
        <f>'Fane 5. Kontrol af ØR2020'!E35</f>
        <v>-35423.49379484239</v>
      </c>
      <c r="F20" s="44" t="s">
        <v>3</v>
      </c>
      <c r="G20" s="1"/>
    </row>
    <row r="21" spans="1:7" x14ac:dyDescent="0.25">
      <c r="A21" s="1"/>
      <c r="B21" s="43" t="s">
        <v>68</v>
      </c>
      <c r="C21" s="43"/>
      <c r="D21" s="43"/>
      <c r="E21" s="10">
        <f>SUM(E12,E14,E18,E20)</f>
        <v>5351400.6805285728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H18mwvH5fUtoH8Dne676gYT+kGjWSq3BPbwNILHfXWzNRYgie+05WdRrmzcqMFsmtL/1v8dsjG4BYuReRI7syQ==" saltValue="PIV7Tq+hk3Ei15lX5eSYE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102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21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25">
      <c r="A8" s="1"/>
      <c r="B8" s="40" t="s">
        <v>103</v>
      </c>
      <c r="C8" s="40"/>
      <c r="D8" s="40"/>
      <c r="E8" s="7">
        <f>'Fane 2.3. Økonomisk ramme 2024'!E12</f>
        <v>3123908.1370834191</v>
      </c>
      <c r="F8" s="40" t="s">
        <v>3</v>
      </c>
      <c r="G8" s="1"/>
    </row>
    <row r="9" spans="1:7" ht="15" customHeight="1" x14ac:dyDescent="0.25">
      <c r="A9" s="1"/>
      <c r="B9" s="40" t="s">
        <v>62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25">
      <c r="A10" s="1"/>
      <c r="B10" s="41" t="s">
        <v>18</v>
      </c>
      <c r="C10" s="40"/>
      <c r="D10" s="40"/>
      <c r="E10" s="8">
        <f>SUM(E8:E9)*'Fane 10. Nøgletal'!C14</f>
        <v>10308.896852375283</v>
      </c>
      <c r="F10" s="40" t="s">
        <v>3</v>
      </c>
      <c r="G10" s="1"/>
    </row>
    <row r="11" spans="1:7" ht="15" customHeight="1" x14ac:dyDescent="0.25">
      <c r="A11" s="1"/>
      <c r="B11" s="41" t="s">
        <v>54</v>
      </c>
      <c r="C11" s="40"/>
      <c r="D11" s="40"/>
      <c r="E11" s="8">
        <f>-SUM(E8:E10)*'Fane 10. Nøgletal'!C19</f>
        <v>-53281.689576908509</v>
      </c>
      <c r="F11" s="40" t="s">
        <v>3</v>
      </c>
      <c r="G11" s="1"/>
    </row>
    <row r="12" spans="1:7" x14ac:dyDescent="0.25">
      <c r="A12" s="1"/>
      <c r="B12" s="42" t="s">
        <v>20</v>
      </c>
      <c r="C12" s="42"/>
      <c r="D12" s="42"/>
      <c r="E12" s="9">
        <f>SUM(E8:E11)</f>
        <v>3080935.3443588861</v>
      </c>
      <c r="F12" s="44" t="s">
        <v>3</v>
      </c>
      <c r="G12" s="1"/>
    </row>
    <row r="13" spans="1:7" x14ac:dyDescent="0.2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25">
      <c r="A14" s="1"/>
      <c r="B14" s="44" t="s">
        <v>12</v>
      </c>
      <c r="C14" s="44"/>
      <c r="D14" s="44"/>
      <c r="E14" s="9">
        <f>'Fane 4. Ikke-påvirkelige omk.'!C16*(1+'Fane 10. Nøgletal'!C14)^3</f>
        <v>2270383.6601628885</v>
      </c>
      <c r="F14" s="44" t="s">
        <v>3</v>
      </c>
      <c r="G14" s="1"/>
    </row>
    <row r="15" spans="1:7" ht="15" customHeight="1" x14ac:dyDescent="0.2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25">
      <c r="A16" s="1"/>
      <c r="B16" s="29" t="s">
        <v>39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25">
      <c r="A17" s="1"/>
      <c r="B17" s="29" t="s">
        <v>40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25">
      <c r="A18" s="1"/>
      <c r="B18" s="54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2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25">
      <c r="A20" s="1"/>
      <c r="B20" s="44" t="s">
        <v>86</v>
      </c>
      <c r="C20" s="44"/>
      <c r="D20" s="44"/>
      <c r="E20" s="9">
        <f>'Fane 5. Kontrol af ØR2020'!E35</f>
        <v>-35423.49379484239</v>
      </c>
      <c r="F20" s="44" t="s">
        <v>3</v>
      </c>
      <c r="G20" s="1"/>
    </row>
    <row r="21" spans="1:7" x14ac:dyDescent="0.25">
      <c r="A21" s="1"/>
      <c r="B21" s="43" t="s">
        <v>104</v>
      </c>
      <c r="C21" s="43"/>
      <c r="D21" s="43"/>
      <c r="E21" s="10">
        <f>SUM(E12,E14,E18,E20)</f>
        <v>5315895.5107269315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G6sA+x+pFb8Jeg0gouGsfnAoLGu1ciiKjKqU+shVIIQOcQ8Xk87+oReF76WD0OiZzhSwvUA5nAIW+/nzeXBbLQ==" saltValue="8MG9EFtA5KHNc+oTs1NUH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105</v>
      </c>
      <c r="C3" s="77"/>
      <c r="D3" s="77"/>
      <c r="E3" s="77"/>
      <c r="F3" s="77"/>
      <c r="G3" s="1"/>
    </row>
    <row r="4" spans="1:7" ht="29.2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126</v>
      </c>
      <c r="C8" s="43"/>
      <c r="D8" s="43"/>
      <c r="E8" s="43"/>
      <c r="F8" s="43"/>
      <c r="G8" s="1"/>
    </row>
    <row r="9" spans="1:7" x14ac:dyDescent="0.25">
      <c r="A9" s="1"/>
      <c r="B9" s="78" t="s">
        <v>23</v>
      </c>
      <c r="C9" s="78"/>
      <c r="D9" s="78"/>
      <c r="E9" s="7">
        <v>3248790.445905806</v>
      </c>
      <c r="F9" s="40" t="s">
        <v>3</v>
      </c>
      <c r="G9" s="1"/>
    </row>
    <row r="10" spans="1:7" x14ac:dyDescent="0.25">
      <c r="A10" s="1"/>
      <c r="B10" s="79" t="s">
        <v>128</v>
      </c>
      <c r="C10" s="79"/>
      <c r="D10" s="79"/>
      <c r="E10" s="7">
        <v>-7037.670293091981</v>
      </c>
      <c r="F10" s="40" t="s">
        <v>3</v>
      </c>
      <c r="G10" s="1"/>
    </row>
    <row r="11" spans="1:7" x14ac:dyDescent="0.25">
      <c r="A11" s="1"/>
      <c r="B11" s="79" t="s">
        <v>60</v>
      </c>
      <c r="C11" s="79"/>
      <c r="D11" s="79"/>
      <c r="E11" s="7">
        <v>0</v>
      </c>
      <c r="F11" s="40" t="s">
        <v>3</v>
      </c>
      <c r="G11" s="1"/>
    </row>
    <row r="12" spans="1:7" x14ac:dyDescent="0.25">
      <c r="A12" s="1"/>
      <c r="B12" s="79" t="s">
        <v>65</v>
      </c>
      <c r="C12" s="79"/>
      <c r="D12" s="79"/>
      <c r="E12" s="7">
        <v>0</v>
      </c>
      <c r="F12" s="40" t="s">
        <v>3</v>
      </c>
      <c r="G12" s="1"/>
    </row>
    <row r="13" spans="1:7" x14ac:dyDescent="0.25">
      <c r="A13" s="1"/>
      <c r="B13" s="79" t="s">
        <v>61</v>
      </c>
      <c r="C13" s="79"/>
      <c r="D13" s="79"/>
      <c r="E13" s="8">
        <v>0</v>
      </c>
      <c r="F13" s="40" t="s">
        <v>3</v>
      </c>
      <c r="G13" s="1"/>
    </row>
    <row r="14" spans="1:7" x14ac:dyDescent="0.25">
      <c r="A14" s="1"/>
      <c r="B14" s="79" t="s">
        <v>18</v>
      </c>
      <c r="C14" s="79"/>
      <c r="D14" s="79"/>
      <c r="E14" s="8">
        <f>SUM(E9:E13)*'Fane 10. Nøgletal'!C13</f>
        <v>39549.383862475115</v>
      </c>
      <c r="F14" s="40" t="s">
        <v>3</v>
      </c>
      <c r="G14" s="1"/>
    </row>
    <row r="15" spans="1:7" x14ac:dyDescent="0.25">
      <c r="A15" s="1"/>
      <c r="B15" s="79" t="s">
        <v>54</v>
      </c>
      <c r="C15" s="79"/>
      <c r="D15" s="79"/>
      <c r="E15" s="8">
        <f>-SUM(E9:E14)*'Fane 10. Nøgletal'!C19</f>
        <v>-55782.136711078223</v>
      </c>
      <c r="F15" s="40" t="s">
        <v>3</v>
      </c>
      <c r="G15" s="1"/>
    </row>
    <row r="16" spans="1:7" x14ac:dyDescent="0.25">
      <c r="A16" s="1"/>
      <c r="B16" s="81" t="s">
        <v>20</v>
      </c>
      <c r="C16" s="81"/>
      <c r="D16" s="81"/>
      <c r="E16" s="9">
        <f>SUM(E9:E15)</f>
        <v>3225520.0227641109</v>
      </c>
      <c r="F16" s="44" t="s">
        <v>3</v>
      </c>
      <c r="G16" s="1"/>
    </row>
    <row r="17" spans="1:7" x14ac:dyDescent="0.25">
      <c r="A17" s="1"/>
      <c r="B17" s="82" t="s">
        <v>12</v>
      </c>
      <c r="C17" s="82"/>
      <c r="D17" s="82"/>
      <c r="E17" s="43"/>
      <c r="F17" s="43"/>
      <c r="G17" s="1"/>
    </row>
    <row r="18" spans="1:7" x14ac:dyDescent="0.25">
      <c r="A18" s="1"/>
      <c r="B18" s="83" t="s">
        <v>12</v>
      </c>
      <c r="C18" s="83"/>
      <c r="D18" s="83"/>
      <c r="E18" s="9">
        <v>1999715.45046084</v>
      </c>
      <c r="F18" s="44" t="s">
        <v>3</v>
      </c>
      <c r="G18" s="1"/>
    </row>
    <row r="19" spans="1:7" ht="15.4" customHeight="1" x14ac:dyDescent="0.25">
      <c r="A19" s="1"/>
      <c r="B19" s="43" t="s">
        <v>42</v>
      </c>
      <c r="C19" s="43"/>
      <c r="D19" s="43"/>
      <c r="E19" s="43"/>
      <c r="F19" s="43"/>
      <c r="G19" s="1"/>
    </row>
    <row r="20" spans="1:7" ht="15.75" customHeight="1" x14ac:dyDescent="0.25">
      <c r="A20" s="1"/>
      <c r="B20" s="84" t="s">
        <v>39</v>
      </c>
      <c r="C20" s="85"/>
      <c r="D20" s="86"/>
      <c r="E20" s="35">
        <v>0</v>
      </c>
      <c r="F20" s="32" t="s">
        <v>3</v>
      </c>
      <c r="G20" s="1"/>
    </row>
    <row r="21" spans="1:7" x14ac:dyDescent="0.25">
      <c r="A21" s="1"/>
      <c r="B21" s="84" t="s">
        <v>40</v>
      </c>
      <c r="C21" s="85"/>
      <c r="D21" s="86"/>
      <c r="E21" s="35">
        <v>0</v>
      </c>
      <c r="F21" s="32" t="s">
        <v>3</v>
      </c>
      <c r="G21" s="1"/>
    </row>
    <row r="22" spans="1:7" x14ac:dyDescent="0.25">
      <c r="A22" s="1"/>
      <c r="B22" s="87" t="s">
        <v>43</v>
      </c>
      <c r="C22" s="88"/>
      <c r="D22" s="89"/>
      <c r="E22" s="9">
        <v>0</v>
      </c>
      <c r="F22" s="9" t="s">
        <v>3</v>
      </c>
      <c r="G22" s="1"/>
    </row>
    <row r="23" spans="1:7" ht="15.75" customHeight="1" x14ac:dyDescent="0.25">
      <c r="A23" s="1"/>
      <c r="B23" s="43" t="s">
        <v>85</v>
      </c>
      <c r="C23" s="43"/>
      <c r="D23" s="43"/>
      <c r="E23" s="43"/>
      <c r="F23" s="43"/>
      <c r="G23" s="1"/>
    </row>
    <row r="24" spans="1:7" x14ac:dyDescent="0.25">
      <c r="A24" s="1"/>
      <c r="B24" s="54" t="s">
        <v>31</v>
      </c>
      <c r="C24" s="42"/>
      <c r="D24" s="42"/>
      <c r="E24" s="9">
        <v>286765.13091468182</v>
      </c>
      <c r="F24" s="44" t="s">
        <v>3</v>
      </c>
      <c r="G24" s="1"/>
    </row>
    <row r="25" spans="1:7" x14ac:dyDescent="0.25">
      <c r="A25" s="1"/>
      <c r="B25" s="54" t="s">
        <v>86</v>
      </c>
      <c r="C25" s="42"/>
      <c r="D25" s="42"/>
      <c r="E25" s="9">
        <v>0</v>
      </c>
      <c r="F25" s="44" t="s">
        <v>3</v>
      </c>
      <c r="G25" s="1"/>
    </row>
    <row r="26" spans="1:7" ht="15" customHeight="1" x14ac:dyDescent="0.25">
      <c r="A26" s="1"/>
      <c r="B26" s="43" t="s">
        <v>25</v>
      </c>
      <c r="C26" s="43"/>
      <c r="D26" s="43"/>
      <c r="E26" s="10">
        <f>E16+E18+E22+E24+E25</f>
        <v>5512000.6041396325</v>
      </c>
      <c r="F26" s="11" t="s">
        <v>3</v>
      </c>
      <c r="G26" s="1"/>
    </row>
    <row r="27" spans="1:7" ht="27" customHeight="1" x14ac:dyDescent="0.25">
      <c r="A27" s="1"/>
      <c r="B27" s="80" t="s">
        <v>120</v>
      </c>
      <c r="C27" s="80"/>
      <c r="D27" s="80"/>
      <c r="E27" s="80"/>
      <c r="F27" s="8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ojnyEXHck5M0+W4f8KQvsDP1h7S79WPhTMdNpDH0mskPmovfnnISiuOSM7leYXzANcmdwWGmjkob4ojJzD/vrQ==" saltValue="OXxPfLFPEMtmmW8JtbF5S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53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0" t="s">
        <v>107</v>
      </c>
      <c r="C8" s="91"/>
      <c r="D8" s="92"/>
      <c r="E8" s="1"/>
      <c r="F8" s="1"/>
    </row>
    <row r="9" spans="1:6" ht="15" customHeight="1" x14ac:dyDescent="0.25">
      <c r="A9" s="1"/>
      <c r="B9" s="17" t="s">
        <v>29</v>
      </c>
      <c r="C9" s="44" t="s">
        <v>106</v>
      </c>
      <c r="D9" s="44"/>
      <c r="E9" s="1"/>
      <c r="F9" s="1"/>
    </row>
    <row r="10" spans="1:6" x14ac:dyDescent="0.25">
      <c r="A10" s="1"/>
      <c r="B10" s="28" t="s">
        <v>150</v>
      </c>
      <c r="C10" s="8">
        <v>2057857.15</v>
      </c>
      <c r="D10" s="12" t="s">
        <v>3</v>
      </c>
      <c r="E10" s="1"/>
      <c r="F10" s="1"/>
    </row>
    <row r="11" spans="1:6" x14ac:dyDescent="0.25">
      <c r="A11" s="1"/>
      <c r="B11" s="28" t="s">
        <v>151</v>
      </c>
      <c r="C11" s="8">
        <v>6405.69</v>
      </c>
      <c r="D11" s="12" t="s">
        <v>3</v>
      </c>
      <c r="E11" s="1"/>
      <c r="F11" s="1"/>
    </row>
    <row r="12" spans="1:6" x14ac:dyDescent="0.25">
      <c r="A12" s="1"/>
      <c r="B12" s="28" t="s">
        <v>152</v>
      </c>
      <c r="C12" s="8">
        <v>5531.36</v>
      </c>
      <c r="D12" s="12" t="s">
        <v>3</v>
      </c>
      <c r="E12" s="1"/>
      <c r="F12" s="1"/>
    </row>
    <row r="13" spans="1:6" x14ac:dyDescent="0.25">
      <c r="A13" s="1"/>
      <c r="B13" s="28" t="s">
        <v>155</v>
      </c>
      <c r="C13" s="8">
        <v>13173.66</v>
      </c>
      <c r="D13" s="12" t="s">
        <v>3</v>
      </c>
      <c r="E13" s="1"/>
      <c r="F13" s="1"/>
    </row>
    <row r="14" spans="1:6" ht="26.25" x14ac:dyDescent="0.25">
      <c r="A14" s="1"/>
      <c r="B14" s="59" t="s">
        <v>153</v>
      </c>
      <c r="C14" s="8">
        <v>150322.5</v>
      </c>
      <c r="D14" s="12" t="s">
        <v>3</v>
      </c>
      <c r="E14" s="1"/>
      <c r="F14" s="1"/>
    </row>
    <row r="15" spans="1:6" x14ac:dyDescent="0.25">
      <c r="A15" s="1"/>
      <c r="B15" s="57" t="s">
        <v>108</v>
      </c>
      <c r="C15" s="10">
        <f>SUM(C10:C14)</f>
        <v>2233290.36</v>
      </c>
      <c r="D15" s="11" t="s">
        <v>3</v>
      </c>
      <c r="E15" s="1"/>
      <c r="F15" s="1"/>
    </row>
    <row r="16" spans="1:6" x14ac:dyDescent="0.25">
      <c r="A16" s="1"/>
      <c r="B16" s="57" t="s">
        <v>109</v>
      </c>
      <c r="C16" s="10">
        <f>C15*(1+'Fane 10. Nøgletal'!C14)^2</f>
        <v>2248054.3969080206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QzeYAmBxVdtBrp9WLtMFkzlIJbYmIcEY76pEofVUQqwx35H6VtqJ/kYczi6RPN0u+IEdl1ml8YW/2FpLiHXyg==" saltValue="X2dugobO0NPBGGMKnrPgp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7" t="s">
        <v>154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131</v>
      </c>
      <c r="C8" s="91"/>
      <c r="D8" s="91"/>
      <c r="E8" s="91"/>
      <c r="F8" s="92"/>
      <c r="G8" s="1"/>
    </row>
    <row r="9" spans="1:7" x14ac:dyDescent="0.25">
      <c r="A9" s="1"/>
      <c r="B9" s="93" t="s">
        <v>132</v>
      </c>
      <c r="C9" s="94"/>
      <c r="D9" s="95"/>
      <c r="E9" s="8">
        <v>449846.29480361659</v>
      </c>
      <c r="F9" s="12" t="s">
        <v>3</v>
      </c>
      <c r="G9" s="1"/>
    </row>
    <row r="10" spans="1:7" x14ac:dyDescent="0.25">
      <c r="A10" s="1"/>
      <c r="B10" s="93" t="s">
        <v>133</v>
      </c>
      <c r="C10" s="94"/>
      <c r="D10" s="95"/>
      <c r="E10" s="8">
        <v>-581467.4834793387</v>
      </c>
      <c r="F10" s="12" t="s">
        <v>3</v>
      </c>
      <c r="G10" s="1"/>
    </row>
    <row r="11" spans="1:7" x14ac:dyDescent="0.25">
      <c r="A11" s="1"/>
      <c r="B11" s="93" t="s">
        <v>134</v>
      </c>
      <c r="C11" s="94"/>
      <c r="D11" s="95"/>
      <c r="E11" s="8">
        <v>337903.85736890603</v>
      </c>
      <c r="F11" s="12" t="s">
        <v>3</v>
      </c>
      <c r="G11" s="1"/>
    </row>
    <row r="12" spans="1:7" x14ac:dyDescent="0.25">
      <c r="A12" s="1"/>
      <c r="B12" s="57"/>
      <c r="C12" s="22"/>
      <c r="D12" s="22"/>
      <c r="E12" s="22"/>
      <c r="F12" s="58"/>
      <c r="G12" s="1"/>
    </row>
    <row r="13" spans="1:7" ht="51.75" customHeight="1" x14ac:dyDescent="0.25">
      <c r="A13" s="1"/>
      <c r="B13" s="96" t="s">
        <v>135</v>
      </c>
      <c r="C13" s="97"/>
      <c r="D13" s="97"/>
      <c r="E13" s="97"/>
      <c r="F13" s="98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0" t="s">
        <v>136</v>
      </c>
      <c r="C15" s="91"/>
      <c r="D15" s="91"/>
      <c r="E15" s="91"/>
      <c r="F15" s="92"/>
      <c r="G15" s="1"/>
    </row>
    <row r="16" spans="1:7" x14ac:dyDescent="0.25">
      <c r="A16" s="1"/>
      <c r="B16" s="93" t="s">
        <v>137</v>
      </c>
      <c r="C16" s="94"/>
      <c r="D16" s="95"/>
      <c r="E16" s="8">
        <v>0</v>
      </c>
      <c r="F16" s="12" t="s">
        <v>3</v>
      </c>
      <c r="G16" s="1"/>
    </row>
    <row r="17" spans="1:7" x14ac:dyDescent="0.25">
      <c r="A17" s="1"/>
      <c r="B17" s="93" t="s">
        <v>138</v>
      </c>
      <c r="C17" s="94"/>
      <c r="D17" s="95"/>
      <c r="E17" s="8">
        <v>0</v>
      </c>
      <c r="F17" s="12" t="s">
        <v>3</v>
      </c>
      <c r="G17" s="1"/>
    </row>
    <row r="18" spans="1:7" x14ac:dyDescent="0.25">
      <c r="A18" s="1"/>
      <c r="B18" s="57"/>
      <c r="C18" s="22"/>
      <c r="D18" s="22"/>
      <c r="E18" s="22"/>
      <c r="F18" s="58"/>
      <c r="G18" s="1"/>
    </row>
    <row r="19" spans="1:7" ht="29.25" customHeight="1" x14ac:dyDescent="0.25">
      <c r="A19" s="1"/>
      <c r="B19" s="96" t="s">
        <v>139</v>
      </c>
      <c r="C19" s="97"/>
      <c r="D19" s="97"/>
      <c r="E19" s="97"/>
      <c r="F19" s="98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8" t="s">
        <v>122</v>
      </c>
      <c r="C21" s="49"/>
      <c r="D21" s="49"/>
      <c r="E21" s="49"/>
      <c r="F21" s="50"/>
      <c r="G21" s="1"/>
    </row>
    <row r="22" spans="1:7" x14ac:dyDescent="0.25">
      <c r="A22" s="1"/>
      <c r="B22" s="51" t="s">
        <v>123</v>
      </c>
      <c r="C22" s="52"/>
      <c r="D22" s="53"/>
      <c r="E22" s="8">
        <v>5358100.4061274463</v>
      </c>
      <c r="F22" s="12" t="s">
        <v>3</v>
      </c>
      <c r="G22" s="1"/>
    </row>
    <row r="23" spans="1:7" x14ac:dyDescent="0.25">
      <c r="A23" s="1"/>
      <c r="B23" s="51" t="s">
        <v>124</v>
      </c>
      <c r="C23" s="52"/>
      <c r="D23" s="53"/>
      <c r="E23" s="8">
        <v>5706077.0499999998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5" t="s">
        <v>125</v>
      </c>
      <c r="C25" s="46"/>
      <c r="D25" s="47"/>
      <c r="E25" s="34">
        <f>E22-(E23-E24)</f>
        <v>-347976.64387255348</v>
      </c>
      <c r="F25" s="15" t="s">
        <v>3</v>
      </c>
      <c r="G25" s="1"/>
    </row>
    <row r="26" spans="1:7" x14ac:dyDescent="0.25">
      <c r="A26" s="1"/>
      <c r="B26" s="57"/>
      <c r="C26" s="22"/>
      <c r="D26" s="22"/>
      <c r="E26" s="22"/>
      <c r="F26" s="58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90" t="s">
        <v>140</v>
      </c>
      <c r="C28" s="91"/>
      <c r="D28" s="91"/>
      <c r="E28" s="91"/>
      <c r="F28" s="92"/>
      <c r="G28" s="1"/>
    </row>
    <row r="29" spans="1:7" x14ac:dyDescent="0.25">
      <c r="A29" s="1"/>
      <c r="B29" s="87" t="s">
        <v>141</v>
      </c>
      <c r="C29" s="88"/>
      <c r="D29" s="89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90"/>
      <c r="C30" s="91"/>
      <c r="D30" s="91"/>
      <c r="E30" s="91"/>
      <c r="F30" s="92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0" t="s">
        <v>142</v>
      </c>
      <c r="C32" s="91"/>
      <c r="D32" s="91"/>
      <c r="E32" s="91"/>
      <c r="F32" s="92"/>
      <c r="G32" s="1"/>
    </row>
    <row r="33" spans="1:7" x14ac:dyDescent="0.25">
      <c r="A33" s="1"/>
      <c r="B33" s="103" t="s">
        <v>85</v>
      </c>
      <c r="C33" s="104"/>
      <c r="D33" s="105"/>
      <c r="E33" s="8">
        <f>IF(AND(SUM(E9:E11)&gt;0,E25&lt;0,ABS(SUM(E9:E11))&lt;ABS(E25)),(SUM(E9:E11)-ABS(E25)),IF(AND(SUM(E9:E11)&lt;0,E25&lt;0),E25,0))</f>
        <v>-141693.97517936956</v>
      </c>
      <c r="F33" s="12" t="s">
        <v>3</v>
      </c>
      <c r="G33" s="1"/>
    </row>
    <row r="34" spans="1:7" x14ac:dyDescent="0.25">
      <c r="A34" s="1"/>
      <c r="B34" s="103" t="s">
        <v>55</v>
      </c>
      <c r="C34" s="104"/>
      <c r="D34" s="105"/>
      <c r="E34" s="8">
        <v>4</v>
      </c>
      <c r="F34" s="12" t="s">
        <v>19</v>
      </c>
      <c r="G34" s="1"/>
    </row>
    <row r="35" spans="1:7" x14ac:dyDescent="0.25">
      <c r="A35" s="1"/>
      <c r="B35" s="102" t="s">
        <v>143</v>
      </c>
      <c r="C35" s="102"/>
      <c r="D35" s="102"/>
      <c r="E35" s="9">
        <f>E33/E34</f>
        <v>-35423.49379484239</v>
      </c>
      <c r="F35" s="15" t="s">
        <v>3</v>
      </c>
      <c r="G35" s="1"/>
    </row>
    <row r="36" spans="1:7" x14ac:dyDescent="0.25">
      <c r="A36" s="1"/>
      <c r="B36" s="99"/>
      <c r="C36" s="100"/>
      <c r="D36" s="100"/>
      <c r="E36" s="100"/>
      <c r="F36" s="10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2oFy4n7BHkpihaFbVbkhNp8uBQj23j7Zt28a07oG63aof74tEI7YSj3TjwRxTHH7mnFxWy8y+gMzt3WQ0YF2Ig==" saltValue="C+G/zAm324s6Yg0AEu/wZ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79</v>
      </c>
      <c r="C8" s="91"/>
      <c r="D8" s="91"/>
      <c r="E8" s="91"/>
      <c r="F8" s="91"/>
      <c r="G8" s="91"/>
      <c r="H8" s="9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4" t="s">
        <v>2</v>
      </c>
      <c r="F9" s="44" t="s">
        <v>11</v>
      </c>
      <c r="G9" s="44" t="s">
        <v>27</v>
      </c>
      <c r="H9" s="56"/>
      <c r="I9" s="1"/>
    </row>
    <row r="10" spans="1:9" x14ac:dyDescent="0.25">
      <c r="A10" s="1"/>
      <c r="B10" s="36" t="s">
        <v>148</v>
      </c>
      <c r="C10" s="3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0" t="s">
        <v>80</v>
      </c>
      <c r="C11" s="91"/>
      <c r="D11" s="9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Y2mN4ZL13jZXp06gtvdTfHVY8j0mvuljoEPVrLIxbFsIv38YSiL4RgqOmaOsMgVLx/yl6WwfnNi59gdT/7vKg==" saltValue="h/MrjA+W1bwf1NHkFpr6e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2021-10-08T12:26:04Z</dcterms:modified>
</cp:coreProperties>
</file>