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HØRSHOLM AS (V102)\ØR2024\"/>
    </mc:Choice>
  </mc:AlternateContent>
  <xr:revisionPtr revIDLastSave="0" documentId="13_ncr:1_{F0D1A4F2-322D-4DB3-93E2-9EF58FCA1008}"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7" i="22" l="1"/>
  <c r="C17" i="15"/>
  <c r="C29" i="2"/>
  <c r="E23" i="41"/>
  <c r="E31" i="41" s="1"/>
  <c r="E33" i="41" s="1"/>
  <c r="E27" i="41" l="1"/>
  <c r="G19" i="36"/>
  <c r="C8" i="2" l="1"/>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23" i="30" l="1"/>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<sst xmlns="http://schemas.openxmlformats.org/spreadsheetml/2006/main" count="549" uniqueCount="262">
  <si>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</si>
  <si>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</si>
  <si>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</si>
  <si>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</si>
  <si>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</si>
  <si>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</si>
  <si>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</si>
  <si>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</si>
  <si>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</si>
  <si>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</si>
  <si>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</si>
  <si>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</si>
  <si>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</si>
  <si>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</si>
  <si>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</si>
  <si>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</si>
  <si>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</si>
  <si>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</si>
  <si>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</si>
  <si>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</si>
  <si>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</si>
  <si>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</si>
  <si>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</si>
  <si>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</si>
  <si>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</si>
  <si>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</si>
  <si>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</si>
  <si>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</si>
  <si>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</si>
  <si>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</si>
  <si>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</si>
  <si>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</si>
  <si>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</si>
  <si>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</si>
  <si>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</si>
  <si>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</si>
  <si>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</si>
  <si>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</si>
  <si>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</si>
  <si>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</si>
  <si>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</si>
  <si>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</si>
  <si>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</si>
  <si>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</si>
  <si>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</si>
  <si>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</si>
  <si>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</si>
  <si>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</si>
  <si>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</si>
  <si>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</si>
  <si>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</si>
  <si>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</si>
  <si>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</si>
  <si>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</si>
  <si>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</si>
  <si>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</si>
  <si>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</si>
  <si>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</si>
  <si>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</si>
  <si>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</si>
  <si>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</si>
  <si>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</si>
  <si>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</si>
  <si>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</si>
  <si>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</si>
  <si>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</si>
  <si>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</si>
  <si>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</si>
  <si>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</si>
  <si>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</si>
  <si>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</si>
  <si>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</si>
  <si>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</si>
  <si>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</si>
  <si>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</si>
  <si>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</si>
  <si>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</si>
  <si>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</si>
  <si>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</si>
  <si>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</si>
  <si>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</si>
  <si>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</si>
  <si>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</si>
  <si>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</si>
  <si>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</si>
  <si>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</si>
  <si>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</si>
  <si>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</si>
  <si>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</si>
  <si>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</si>
  <si>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</si>
  <si>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</si>
  <si>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</si>
  <si>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</si>
  <si>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</si>
  <si>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</si>
  <si>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</si>
  <si>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</si>
  <si>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</si>
  <si>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</si>
  <si>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</si>
  <si>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</si>
  <si>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</si>
  <si>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</si>
  <si>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</si>
  <si>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</si>
  <si>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</si>
  <si>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</si>
  <si>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</si>
  <si>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</si>
  <si>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</si>
  <si>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</si>
  <si>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</si>
  <si>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</si>
  <si>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</si>
  <si>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</si>
  <si>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</si>
  <si>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</si>
  <si>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</si>
  <si>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</si>
  <si>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</si>
  <si>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</si>
  <si>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</si>
  <si>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</si>
  <si>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</si>
  <si>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</si>
  <si>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</si>
  <si>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</si>
  <si>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</si>
  <si>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</si>
  <si>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</si>
  <si>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</si>
  <si>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</si>
  <si>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</si>
  <si>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</si>
  <si>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</si>
  <si>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</si>
  <si>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</si>
  <si>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</si>
  <si>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</si>
  <si>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</si>
  <si>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</si>
  <si>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</si>
  <si>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</si>
  <si>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</si>
  <si>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</si>
  <si>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</si>
  <si>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</si>
  <si>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</si>
  <si>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</si>
  <si>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</si>
  <si>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</si>
  <si>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</si>
  <si>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</si>
  <si>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</si>
  <si>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</si>
  <si>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</si>
  <si>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</si>
  <si>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</si>
  <si>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</si>
  <si>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</si>
  <si>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</si>
  <si>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</si>
  <si>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</si>
  <si>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</si>
  <si>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</si>
  <si>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</si>
  <si>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</si>
  <si>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</si>
  <si>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</si>
  <si>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</si>
  <si>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</si>
  <si>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</si>
  <si>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</si>
  <si>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</si>
  <si>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</si>
  <si>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</si>
  <si>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</si>
  <si>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</si>
  <si>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</si>
  <si>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</si>
  <si>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</si>
  <si>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</si>
  <si>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</si>
  <si>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</si>
  <si>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</si>
  <si>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</si>
  <si>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</si>
  <si>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</si>
  <si>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</si>
  <si>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</si>
  <si>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</si>
  <si>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</si>
  <si>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</si>
  <si>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</si>
  <si>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</si>
  <si>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</si>
  <si>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</si>
  <si>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</si>
  <si>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</si>
  <si>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</si>
  <si>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</si>
  <si>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</si>
  <si>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</si>
  <si>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</si>
  <si>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</si>
  <si>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</si>
  <si>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</si>
  <si>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</si>
  <si>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</si>
  <si>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</si>
  <si>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</si>
  <si>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</si>
  <si>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</si>
  <si>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</si>
  <si>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</si>
  <si>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</si>
  <si>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</si>
  <si>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</si>
  <si>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</si>
  <si>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</si>
  <si>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</si>
  <si>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</si>
  <si>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</si>
  <si>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</si>
  <si>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</si>
  <si>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</si>
  <si>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</si>
  <si>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</si>
  <si>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</si>
  <si>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</si>
  <si>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</si>
  <si>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</si>
  <si>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</si>
  <si>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</si>
  <si>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</si>
  <si>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</si>
  <si>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</si>
  <si>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</si>
  <si>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</si>
  <si>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</si>
  <si>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</si>
  <si>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</si>
  <si>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</si>
  <si>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</si>
  <si>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</si>
  <si>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Ejendomsskat</t>
  </si>
  <si>
    <t xml:space="preserve">VHØ Stiketableringer </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</si>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</sst>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235</v>
      </c>
      <c r="E8" s="84"/>
      <c r="F8" s="84"/>
      <c r="G8" s="8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162</v>
      </c>
      <c r="E13" s="77"/>
      <c r="F13" s="77"/>
      <c r="G13" s="78"/>
      <c r="H13" s="1"/>
      <c r="I13" s="1"/>
    </row>
    <row r="14" spans="1:9" x14ac:dyDescent="0.25">
      <c r="A14" s="1"/>
      <c r="B14" s="1"/>
      <c r="C14" s="6" t="s">
        <v>14</v>
      </c>
      <c r="D14" s="76" t="s">
        <v>197</v>
      </c>
      <c r="E14" s="77"/>
      <c r="F14" s="77"/>
      <c r="G14" s="78"/>
      <c r="H14" s="1"/>
      <c r="I14" s="1"/>
    </row>
    <row r="15" spans="1:9" x14ac:dyDescent="0.25">
      <c r="A15" s="1"/>
      <c r="B15" s="1"/>
      <c r="C15" s="6" t="s">
        <v>30</v>
      </c>
      <c r="D15" s="76" t="s">
        <v>141</v>
      </c>
      <c r="E15" s="77"/>
      <c r="F15" s="77"/>
      <c r="G15" s="78"/>
      <c r="H15" s="1"/>
      <c r="I15" s="1"/>
    </row>
    <row r="16" spans="1:9" x14ac:dyDescent="0.25">
      <c r="A16" s="1"/>
      <c r="B16" s="1"/>
      <c r="C16" s="6" t="s">
        <v>31</v>
      </c>
      <c r="D16" s="76" t="s">
        <v>194</v>
      </c>
      <c r="E16" s="77"/>
      <c r="F16" s="77"/>
      <c r="G16" s="78"/>
      <c r="H16" s="1"/>
      <c r="I16" s="1"/>
    </row>
    <row r="17" spans="1:9" x14ac:dyDescent="0.25">
      <c r="A17" s="1"/>
      <c r="B17" s="1"/>
      <c r="C17" s="6" t="s">
        <v>102</v>
      </c>
      <c r="D17" s="76" t="s">
        <v>195</v>
      </c>
      <c r="E17" s="77"/>
      <c r="F17" s="77"/>
      <c r="G17" s="78"/>
      <c r="H17" s="1"/>
      <c r="I17" s="1"/>
    </row>
    <row r="18" spans="1:9" x14ac:dyDescent="0.25">
      <c r="A18" s="1"/>
      <c r="B18" s="1"/>
      <c r="C18" s="6" t="s">
        <v>86</v>
      </c>
      <c r="D18" s="85" t="s">
        <v>79</v>
      </c>
      <c r="E18" s="86"/>
      <c r="F18" s="86"/>
      <c r="G18" s="87"/>
      <c r="H18" s="1"/>
      <c r="I18" s="1"/>
    </row>
    <row r="19" spans="1:9" x14ac:dyDescent="0.25">
      <c r="A19" s="1"/>
      <c r="B19" s="1"/>
      <c r="C19" s="6" t="s">
        <v>87</v>
      </c>
      <c r="D19" s="85" t="s">
        <v>80</v>
      </c>
      <c r="E19" s="86"/>
      <c r="F19" s="86"/>
      <c r="G19" s="87"/>
      <c r="H19" s="1"/>
      <c r="I19" s="1"/>
    </row>
    <row r="20" spans="1:9" x14ac:dyDescent="0.25">
      <c r="A20" s="1"/>
      <c r="B20" s="1"/>
      <c r="C20" s="6" t="s">
        <v>7</v>
      </c>
      <c r="D20" s="85" t="s">
        <v>9</v>
      </c>
      <c r="E20" s="86"/>
      <c r="F20" s="86"/>
      <c r="G20" s="87"/>
      <c r="H20" s="1"/>
      <c r="I20" s="1"/>
    </row>
    <row r="21" spans="1:9" x14ac:dyDescent="0.25">
      <c r="A21" s="1"/>
      <c r="B21" s="1"/>
      <c r="C21" s="6" t="s">
        <v>88</v>
      </c>
      <c r="D21" s="91" t="s">
        <v>11</v>
      </c>
      <c r="E21" s="92"/>
      <c r="F21" s="92"/>
      <c r="G21" s="93"/>
      <c r="H21" s="1"/>
      <c r="I21" s="1"/>
    </row>
    <row r="22" spans="1:9" x14ac:dyDescent="0.25">
      <c r="A22" s="1"/>
      <c r="B22" s="1"/>
      <c r="C22" s="6" t="s">
        <v>73</v>
      </c>
      <c r="D22" s="80" t="s">
        <v>196</v>
      </c>
      <c r="E22" s="81"/>
      <c r="F22" s="81"/>
      <c r="G22" s="82"/>
      <c r="H22" s="1"/>
      <c r="I22" s="1"/>
    </row>
    <row r="23" spans="1:9" x14ac:dyDescent="0.25">
      <c r="A23" s="1"/>
      <c r="B23" s="1"/>
      <c r="C23" s="6" t="s">
        <v>8</v>
      </c>
      <c r="D23" s="80" t="s">
        <v>176</v>
      </c>
      <c r="E23" s="81"/>
      <c r="F23" s="81"/>
      <c r="G23" s="82"/>
      <c r="H23" s="1"/>
      <c r="I23" s="1"/>
    </row>
    <row r="24" spans="1:9" x14ac:dyDescent="0.25">
      <c r="A24" s="1"/>
      <c r="B24" s="1"/>
      <c r="C24" s="6" t="s">
        <v>172</v>
      </c>
      <c r="D24" s="80" t="s">
        <v>163</v>
      </c>
      <c r="E24" s="81"/>
      <c r="F24" s="81"/>
      <c r="G24" s="82"/>
      <c r="H24" s="1"/>
      <c r="I24" s="1"/>
    </row>
    <row r="25" spans="1:9" x14ac:dyDescent="0.25">
      <c r="A25" s="1"/>
      <c r="B25" s="1"/>
      <c r="C25" s="6" t="s">
        <v>173</v>
      </c>
      <c r="D25" s="80" t="s">
        <v>74</v>
      </c>
      <c r="E25" s="81"/>
      <c r="F25" s="81"/>
      <c r="G25" s="82"/>
      <c r="H25" s="1"/>
      <c r="I25" s="1"/>
    </row>
    <row r="26" spans="1:9" x14ac:dyDescent="0.25">
      <c r="A26" s="1"/>
      <c r="B26" s="1"/>
      <c r="C26" s="6" t="s">
        <v>174</v>
      </c>
      <c r="D26" s="80" t="s">
        <v>75</v>
      </c>
      <c r="E26" s="81"/>
      <c r="F26" s="81"/>
      <c r="G26" s="82"/>
      <c r="H26" s="1"/>
      <c r="I26" s="1"/>
    </row>
    <row r="27" spans="1:9" x14ac:dyDescent="0.25">
      <c r="A27" s="1"/>
      <c r="B27" s="1"/>
      <c r="C27" s="6" t="s">
        <v>89</v>
      </c>
      <c r="D27" s="80" t="s">
        <v>103</v>
      </c>
      <c r="E27" s="81"/>
      <c r="F27" s="81"/>
      <c r="G27" s="82"/>
      <c r="H27" s="1"/>
      <c r="I27" s="1"/>
    </row>
    <row r="28" spans="1:9" x14ac:dyDescent="0.25">
      <c r="A28" s="1"/>
      <c r="B28" s="1"/>
      <c r="C28" s="6" t="s">
        <v>83</v>
      </c>
      <c r="D28" s="80" t="s">
        <v>32</v>
      </c>
      <c r="E28" s="81"/>
      <c r="F28" s="81"/>
      <c r="G28" s="82"/>
      <c r="H28" s="1"/>
      <c r="I28" s="1"/>
    </row>
    <row r="29" spans="1:9" x14ac:dyDescent="0.25">
      <c r="A29" s="1"/>
      <c r="B29" s="1"/>
      <c r="C29" s="6" t="s">
        <v>175</v>
      </c>
      <c r="D29" s="88" t="s">
        <v>84</v>
      </c>
      <c r="E29" s="89"/>
      <c r="F29" s="89"/>
      <c r="G29" s="90"/>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iH+wdikLX5J6Gq47xQ4pn9MJF0ao0YWPGSSuIbITx6OxKmEbBJuh76KwcuUIOY/QyTSYklxBdoIJs9X8bRswqg==" saltValue="Tv8voVjlg77ZkUY7zKVjz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4" t="s">
        <v>92</v>
      </c>
      <c r="C3" s="94"/>
      <c r="D3" s="94"/>
      <c r="E3" s="1"/>
      <c r="F3" s="1"/>
    </row>
    <row r="4" spans="1:6" ht="15" customHeight="1" x14ac:dyDescent="0.25">
      <c r="A4" s="1"/>
      <c r="B4" s="94"/>
      <c r="C4" s="94"/>
      <c r="D4" s="9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4" t="s">
        <v>226</v>
      </c>
      <c r="C8" s="105"/>
      <c r="D8" s="106"/>
      <c r="E8" s="1"/>
      <c r="F8" s="1"/>
    </row>
    <row r="9" spans="1:6" ht="15" customHeight="1" x14ac:dyDescent="0.25">
      <c r="A9" s="1"/>
      <c r="B9" s="32" t="s">
        <v>28</v>
      </c>
      <c r="C9" s="11" t="s">
        <v>212</v>
      </c>
      <c r="D9" s="11"/>
      <c r="E9" s="1"/>
      <c r="F9" s="1"/>
    </row>
    <row r="10" spans="1:6" ht="15" customHeight="1" x14ac:dyDescent="0.25">
      <c r="A10" s="1"/>
      <c r="B10" s="68" t="s">
        <v>243</v>
      </c>
      <c r="C10" s="9">
        <v>7446179</v>
      </c>
      <c r="D10" s="14" t="s">
        <v>3</v>
      </c>
      <c r="E10" s="1"/>
      <c r="F10" s="1"/>
    </row>
    <row r="11" spans="1:6" x14ac:dyDescent="0.25">
      <c r="A11" s="1"/>
      <c r="B11" s="68" t="s">
        <v>244</v>
      </c>
      <c r="C11" s="9">
        <v>79701</v>
      </c>
      <c r="D11" s="14" t="s">
        <v>3</v>
      </c>
      <c r="E11" s="1"/>
      <c r="F11" s="1"/>
    </row>
    <row r="12" spans="1:6" ht="26.25" x14ac:dyDescent="0.25">
      <c r="A12" s="1"/>
      <c r="B12" s="55" t="s">
        <v>245</v>
      </c>
      <c r="C12" s="9">
        <v>4408422</v>
      </c>
      <c r="D12" s="14" t="s">
        <v>3</v>
      </c>
      <c r="E12" s="1"/>
      <c r="F12" s="1"/>
    </row>
    <row r="13" spans="1:6" x14ac:dyDescent="0.25">
      <c r="A13" s="1"/>
      <c r="B13" s="68" t="s">
        <v>246</v>
      </c>
      <c r="C13" s="9">
        <v>84593</v>
      </c>
      <c r="D13" s="14" t="s">
        <v>3</v>
      </c>
      <c r="E13" s="1"/>
      <c r="F13" s="1"/>
    </row>
    <row r="14" spans="1:6" x14ac:dyDescent="0.25">
      <c r="A14" s="1"/>
      <c r="B14" s="68"/>
      <c r="C14" s="9"/>
      <c r="D14" s="14" t="s">
        <v>3</v>
      </c>
      <c r="E14" s="1"/>
      <c r="F14" s="1"/>
    </row>
    <row r="15" spans="1:6" x14ac:dyDescent="0.25">
      <c r="A15" s="1"/>
      <c r="B15" s="68"/>
      <c r="C15" s="9"/>
      <c r="D15" s="14" t="s">
        <v>3</v>
      </c>
      <c r="E15" s="1"/>
      <c r="F15" s="1"/>
    </row>
    <row r="16" spans="1:6" x14ac:dyDescent="0.25">
      <c r="A16" s="1"/>
      <c r="B16" s="68"/>
      <c r="C16" s="9"/>
      <c r="D16" s="14" t="s">
        <v>3</v>
      </c>
      <c r="E16" s="1"/>
      <c r="F16" s="1"/>
    </row>
    <row r="17" spans="1:6" x14ac:dyDescent="0.25">
      <c r="A17" s="1"/>
      <c r="B17" s="68"/>
      <c r="C17" s="9"/>
      <c r="D17" s="14" t="s">
        <v>3</v>
      </c>
      <c r="E17" s="1"/>
      <c r="F17" s="1"/>
    </row>
    <row r="18" spans="1:6" x14ac:dyDescent="0.25">
      <c r="A18" s="1"/>
      <c r="B18" s="68"/>
      <c r="C18" s="9"/>
      <c r="D18" s="14" t="s">
        <v>3</v>
      </c>
      <c r="E18" s="1"/>
      <c r="F18" s="1"/>
    </row>
    <row r="19" spans="1:6" x14ac:dyDescent="0.25">
      <c r="A19" s="1"/>
      <c r="B19" s="52" t="s">
        <v>213</v>
      </c>
      <c r="C19" s="12">
        <f>SUM(C10:C18)</f>
        <v>12018895</v>
      </c>
      <c r="D19" s="13" t="s">
        <v>3</v>
      </c>
      <c r="E19" s="1"/>
      <c r="F19" s="1"/>
    </row>
    <row r="20" spans="1:6" x14ac:dyDescent="0.25">
      <c r="A20" s="1"/>
      <c r="B20" s="52" t="s">
        <v>214</v>
      </c>
      <c r="C20" s="12">
        <f>C19*(1+'Fane 13. Nøgletal'!C16)^2</f>
        <v>14039615.4706528</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sfmAzplZhmDnc80upONmNo1cEuQSJEQU9b3dz2X6F9D7crNAjchE2P5Y1SLHRDRLwlYNNS446x5WHmQZVolI1w==" saltValue="oHY1pZzSWXiLvtX6Smx9t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7" t="s">
        <v>227</v>
      </c>
      <c r="C3" s="97"/>
      <c r="D3" s="97"/>
      <c r="E3" s="97"/>
      <c r="F3" s="97"/>
      <c r="G3" s="1"/>
    </row>
    <row r="4" spans="1:7" ht="15" customHeight="1" x14ac:dyDescent="0.25">
      <c r="A4" s="1"/>
      <c r="B4" s="97"/>
      <c r="C4" s="97"/>
      <c r="D4" s="97"/>
      <c r="E4" s="97"/>
      <c r="F4" s="97"/>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104" t="s">
        <v>249</v>
      </c>
      <c r="C8" s="105"/>
      <c r="D8" s="105"/>
      <c r="E8" s="105"/>
      <c r="F8" s="106"/>
      <c r="G8" s="1"/>
    </row>
    <row r="9" spans="1:7" x14ac:dyDescent="0.25">
      <c r="A9" s="1"/>
      <c r="B9" s="98" t="s">
        <v>250</v>
      </c>
      <c r="C9" s="99"/>
      <c r="D9" s="100"/>
      <c r="E9" s="28">
        <v>-2432648.3594026864</v>
      </c>
      <c r="F9" s="14" t="s">
        <v>3</v>
      </c>
      <c r="G9" s="1"/>
    </row>
    <row r="10" spans="1:7" x14ac:dyDescent="0.25">
      <c r="A10" s="1"/>
      <c r="B10" s="52"/>
      <c r="C10" s="53"/>
      <c r="D10" s="53"/>
      <c r="E10" s="53"/>
      <c r="F10" s="19"/>
      <c r="G10" s="1"/>
    </row>
    <row r="11" spans="1:7" ht="55.5" customHeight="1" x14ac:dyDescent="0.25">
      <c r="A11" s="1"/>
      <c r="B11" s="120" t="s">
        <v>251</v>
      </c>
      <c r="C11" s="121"/>
      <c r="D11" s="121"/>
      <c r="E11" s="121"/>
      <c r="F11" s="122"/>
      <c r="G11" s="1"/>
    </row>
    <row r="12" spans="1:7" x14ac:dyDescent="0.25">
      <c r="A12" s="1"/>
      <c r="B12" s="1"/>
      <c r="C12" s="1"/>
      <c r="D12" s="1"/>
      <c r="E12" s="1"/>
      <c r="F12" s="1"/>
      <c r="G12" s="1"/>
    </row>
    <row r="13" spans="1:7" x14ac:dyDescent="0.25">
      <c r="A13" s="1"/>
      <c r="B13" s="104" t="s">
        <v>140</v>
      </c>
      <c r="C13" s="105"/>
      <c r="D13" s="105"/>
      <c r="E13" s="105"/>
      <c r="F13" s="106"/>
      <c r="G13" s="1"/>
    </row>
    <row r="14" spans="1:7" x14ac:dyDescent="0.25">
      <c r="A14" s="1"/>
      <c r="B14" s="98" t="s">
        <v>252</v>
      </c>
      <c r="C14" s="99"/>
      <c r="D14" s="100"/>
      <c r="E14" s="9">
        <v>-717482.62085595541</v>
      </c>
      <c r="F14" s="14" t="s">
        <v>3</v>
      </c>
      <c r="G14" s="1"/>
    </row>
    <row r="15" spans="1:7" x14ac:dyDescent="0.25">
      <c r="A15" s="1"/>
      <c r="B15" s="98" t="s">
        <v>253</v>
      </c>
      <c r="C15" s="99"/>
      <c r="D15" s="100"/>
      <c r="E15" s="9">
        <v>-717482.62085595541</v>
      </c>
      <c r="F15" s="14" t="s">
        <v>3</v>
      </c>
      <c r="G15" s="1"/>
    </row>
    <row r="16" spans="1:7" x14ac:dyDescent="0.25">
      <c r="A16" s="1"/>
      <c r="B16" s="52"/>
      <c r="C16" s="53"/>
      <c r="D16" s="53"/>
      <c r="E16" s="53"/>
      <c r="F16" s="19"/>
      <c r="G16" s="1"/>
    </row>
    <row r="17" spans="1:7" ht="30" customHeight="1" x14ac:dyDescent="0.25">
      <c r="A17" s="1"/>
      <c r="B17" s="120" t="s">
        <v>254</v>
      </c>
      <c r="C17" s="121"/>
      <c r="D17" s="121"/>
      <c r="E17" s="121"/>
      <c r="F17" s="122"/>
      <c r="G17" s="1"/>
    </row>
    <row r="18" spans="1:7" x14ac:dyDescent="0.25">
      <c r="A18" s="1"/>
      <c r="B18" s="1"/>
      <c r="C18" s="1"/>
      <c r="D18" s="1"/>
      <c r="E18" s="1"/>
      <c r="F18" s="1"/>
      <c r="G18" s="1"/>
    </row>
    <row r="19" spans="1:7" x14ac:dyDescent="0.25">
      <c r="A19" s="1"/>
      <c r="B19" s="62" t="s">
        <v>255</v>
      </c>
      <c r="C19" s="63"/>
      <c r="D19" s="63"/>
      <c r="E19" s="63"/>
      <c r="F19" s="64"/>
      <c r="G19" s="1"/>
    </row>
    <row r="20" spans="1:7" x14ac:dyDescent="0.25">
      <c r="A20" s="1"/>
      <c r="B20" s="65" t="s">
        <v>256</v>
      </c>
      <c r="C20" s="66"/>
      <c r="D20" s="67"/>
      <c r="E20" s="9">
        <v>23399265.766009063</v>
      </c>
      <c r="F20" s="14" t="s">
        <v>3</v>
      </c>
      <c r="G20" s="1"/>
    </row>
    <row r="21" spans="1:7" x14ac:dyDescent="0.25">
      <c r="A21" s="1"/>
      <c r="B21" s="65" t="s">
        <v>257</v>
      </c>
      <c r="C21" s="66"/>
      <c r="D21" s="67"/>
      <c r="E21" s="9">
        <v>22304077</v>
      </c>
      <c r="F21" s="14" t="s">
        <v>3</v>
      </c>
      <c r="G21" s="1"/>
    </row>
    <row r="22" spans="1:7" x14ac:dyDescent="0.25">
      <c r="A22" s="1"/>
      <c r="B22" s="65" t="s">
        <v>29</v>
      </c>
      <c r="C22" s="66"/>
      <c r="D22" s="67"/>
      <c r="E22" s="9">
        <v>0</v>
      </c>
      <c r="F22" s="14" t="s">
        <v>3</v>
      </c>
      <c r="G22" s="1"/>
    </row>
    <row r="23" spans="1:7" x14ac:dyDescent="0.25">
      <c r="A23" s="1"/>
      <c r="B23" s="70" t="s">
        <v>258</v>
      </c>
      <c r="C23" s="71"/>
      <c r="D23" s="72"/>
      <c r="E23" s="10">
        <f>E20-(E21-E22)</f>
        <v>1095188.7660090625</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4" t="s">
        <v>259</v>
      </c>
      <c r="C26" s="105"/>
      <c r="D26" s="105"/>
      <c r="E26" s="105"/>
      <c r="F26" s="106"/>
      <c r="G26" s="1"/>
    </row>
    <row r="27" spans="1:7" x14ac:dyDescent="0.25">
      <c r="A27" s="1"/>
      <c r="B27" s="123" t="s">
        <v>260</v>
      </c>
      <c r="C27" s="124"/>
      <c r="D27" s="125"/>
      <c r="E27" s="59">
        <f>IF(AND(E15&lt;0,E23&gt;0,ABS(SUM(E14:E15))&lt;E23),ABS(E14),IF(AND(E15&lt;0,E23&gt;0,ABS(SUM(E14:E15))&gt;E23),SUM(E14,E23),0))</f>
        <v>377706.14515310712</v>
      </c>
      <c r="F27" s="17" t="s">
        <v>3</v>
      </c>
      <c r="G27" s="1"/>
    </row>
    <row r="28" spans="1:7" x14ac:dyDescent="0.25">
      <c r="A28" s="1"/>
      <c r="B28" s="104"/>
      <c r="C28" s="105"/>
      <c r="D28" s="105"/>
      <c r="E28" s="105"/>
      <c r="F28" s="106"/>
      <c r="G28" s="1"/>
    </row>
    <row r="29" spans="1:7" x14ac:dyDescent="0.25">
      <c r="A29" s="1"/>
      <c r="B29" s="1"/>
      <c r="C29" s="1"/>
      <c r="D29" s="1"/>
      <c r="E29" s="1"/>
      <c r="F29" s="1"/>
      <c r="G29" s="1"/>
    </row>
    <row r="30" spans="1:7" x14ac:dyDescent="0.25">
      <c r="A30" s="1"/>
      <c r="B30" s="104" t="s">
        <v>261</v>
      </c>
      <c r="C30" s="105"/>
      <c r="D30" s="105"/>
      <c r="E30" s="105"/>
      <c r="F30" s="106"/>
      <c r="G30" s="1"/>
    </row>
    <row r="31" spans="1:7" x14ac:dyDescent="0.25">
      <c r="A31" s="1"/>
      <c r="B31" s="126" t="s">
        <v>117</v>
      </c>
      <c r="C31" s="127"/>
      <c r="D31" s="128"/>
      <c r="E31" s="60">
        <f>IF(AND(E9&gt;0,(E9+E23)&gt;0),0,IF(AND(E9&gt;0,(E9+E23)&lt;0),(E9+E23),IF(AND(E9&lt;0,E23&lt;0),E23,0)))</f>
        <v>0</v>
      </c>
      <c r="F31" s="14" t="s">
        <v>3</v>
      </c>
      <c r="G31" s="1"/>
    </row>
    <row r="32" spans="1:7" x14ac:dyDescent="0.25">
      <c r="A32" s="1"/>
      <c r="B32" s="126" t="s">
        <v>85</v>
      </c>
      <c r="C32" s="127"/>
      <c r="D32" s="128"/>
      <c r="E32" s="9">
        <v>2</v>
      </c>
      <c r="F32" s="14" t="s">
        <v>18</v>
      </c>
      <c r="G32" s="1"/>
    </row>
    <row r="33" spans="1:7" x14ac:dyDescent="0.25">
      <c r="A33" s="1"/>
      <c r="B33" s="116" t="s">
        <v>116</v>
      </c>
      <c r="C33" s="116"/>
      <c r="D33" s="116"/>
      <c r="E33" s="59">
        <f>E31/E32</f>
        <v>0</v>
      </c>
      <c r="F33" s="17" t="s">
        <v>3</v>
      </c>
      <c r="G33" s="1"/>
    </row>
    <row r="34" spans="1:7" x14ac:dyDescent="0.25">
      <c r="A34" s="1"/>
      <c r="B34" s="117"/>
      <c r="C34" s="118"/>
      <c r="D34" s="118"/>
      <c r="E34" s="118"/>
      <c r="F34" s="11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un4oNPnFVBugclMHeH95tLy5gM2e3HhaH0h55s1LXzfKBsReWLxBaTJ/bLOnUIOhKzfbfVMgbKH4m4aKdKiHpA==" saltValue="bBZOdcgeVyJv5Y6hkrFHDg==" spinCount="100000" sheet="1" objects="1" scenarios="1"/>
  <mergeCells count="16">
    <mergeCell ref="B13:F13"/>
    <mergeCell ref="B3:F4"/>
    <mergeCell ref="B8:F8"/>
    <mergeCell ref="B9:D9"/>
    <mergeCell ref="B11:F11"/>
    <mergeCell ref="B33:D33"/>
    <mergeCell ref="B34:F34"/>
    <mergeCell ref="B14:D14"/>
    <mergeCell ref="B15:D15"/>
    <mergeCell ref="B17:F17"/>
    <mergeCell ref="B26:F26"/>
    <mergeCell ref="B27:D27"/>
    <mergeCell ref="B31:D31"/>
    <mergeCell ref="B28:F28"/>
    <mergeCell ref="B30:F30"/>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4" t="s">
        <v>183</v>
      </c>
      <c r="C3" s="94"/>
      <c r="D3" s="94"/>
      <c r="E3" s="94"/>
      <c r="F3" s="94"/>
      <c r="G3" s="94"/>
      <c r="H3" s="94"/>
      <c r="I3" s="1"/>
    </row>
    <row r="4" spans="1:9" ht="15" customHeight="1" x14ac:dyDescent="0.25">
      <c r="A4" s="1"/>
      <c r="B4" s="94"/>
      <c r="C4" s="94"/>
      <c r="D4" s="94"/>
      <c r="E4" s="94"/>
      <c r="F4" s="94"/>
      <c r="G4" s="94"/>
      <c r="H4" s="9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4" t="s">
        <v>184</v>
      </c>
      <c r="C8" s="105"/>
      <c r="D8" s="105"/>
      <c r="E8" s="105"/>
      <c r="F8" s="105"/>
      <c r="G8" s="105"/>
      <c r="H8" s="106"/>
      <c r="I8" s="1"/>
    </row>
    <row r="9" spans="1:9" ht="15" customHeight="1" x14ac:dyDescent="0.25">
      <c r="A9" s="1"/>
      <c r="B9" s="129" t="s">
        <v>234</v>
      </c>
      <c r="C9" s="130"/>
      <c r="D9" s="130"/>
      <c r="E9" s="130"/>
      <c r="F9" s="130"/>
      <c r="G9" s="130"/>
      <c r="H9" s="131"/>
      <c r="I9" s="1"/>
    </row>
    <row r="10" spans="1:9" x14ac:dyDescent="0.25">
      <c r="A10" s="1"/>
      <c r="B10" s="132" t="s">
        <v>185</v>
      </c>
      <c r="C10" s="133"/>
      <c r="D10" s="133"/>
      <c r="E10" s="133"/>
      <c r="F10" s="134"/>
      <c r="G10" s="45"/>
      <c r="H10" s="9" t="s">
        <v>3</v>
      </c>
      <c r="I10" s="1"/>
    </row>
    <row r="11" spans="1:9" x14ac:dyDescent="0.25">
      <c r="A11" s="1"/>
      <c r="B11" s="132" t="s">
        <v>186</v>
      </c>
      <c r="C11" s="133"/>
      <c r="D11" s="133"/>
      <c r="E11" s="133"/>
      <c r="F11" s="134"/>
      <c r="G11" s="45"/>
      <c r="H11" s="9" t="s">
        <v>3</v>
      </c>
      <c r="I11" s="1"/>
    </row>
    <row r="12" spans="1:9" x14ac:dyDescent="0.25">
      <c r="A12" s="1"/>
      <c r="B12" s="132" t="s">
        <v>187</v>
      </c>
      <c r="C12" s="133"/>
      <c r="D12" s="133"/>
      <c r="E12" s="133"/>
      <c r="F12" s="134"/>
      <c r="G12" s="9"/>
      <c r="H12" s="9" t="s">
        <v>3</v>
      </c>
      <c r="I12" s="1"/>
    </row>
    <row r="13" spans="1:9" x14ac:dyDescent="0.25">
      <c r="A13" s="1"/>
      <c r="B13" s="132" t="s">
        <v>188</v>
      </c>
      <c r="C13" s="133"/>
      <c r="D13" s="133"/>
      <c r="E13" s="133"/>
      <c r="F13" s="134"/>
      <c r="G13" s="9"/>
      <c r="H13" s="9" t="s">
        <v>3</v>
      </c>
      <c r="I13" s="1"/>
    </row>
    <row r="14" spans="1:9" x14ac:dyDescent="0.25">
      <c r="A14" s="1"/>
      <c r="B14" s="132" t="s">
        <v>189</v>
      </c>
      <c r="C14" s="133"/>
      <c r="D14" s="133"/>
      <c r="E14" s="133"/>
      <c r="F14" s="134"/>
      <c r="G14" s="9"/>
      <c r="H14" s="9" t="s">
        <v>3</v>
      </c>
      <c r="I14" s="1"/>
    </row>
    <row r="15" spans="1:9" x14ac:dyDescent="0.25">
      <c r="A15" s="1"/>
      <c r="B15" s="132" t="s">
        <v>190</v>
      </c>
      <c r="C15" s="133"/>
      <c r="D15" s="133"/>
      <c r="E15" s="133"/>
      <c r="F15" s="134"/>
      <c r="G15" s="9"/>
      <c r="H15" s="9" t="s">
        <v>3</v>
      </c>
      <c r="I15" s="1"/>
    </row>
    <row r="16" spans="1:9" x14ac:dyDescent="0.25">
      <c r="A16" s="1"/>
      <c r="B16" s="132" t="s">
        <v>191</v>
      </c>
      <c r="C16" s="133"/>
      <c r="D16" s="133"/>
      <c r="E16" s="133"/>
      <c r="F16" s="134"/>
      <c r="G16" s="9"/>
      <c r="H16" s="9" t="s">
        <v>3</v>
      </c>
      <c r="I16" s="1"/>
    </row>
    <row r="17" spans="1:9" x14ac:dyDescent="0.25">
      <c r="A17" s="1"/>
      <c r="B17" s="132" t="s">
        <v>192</v>
      </c>
      <c r="C17" s="133"/>
      <c r="D17" s="133"/>
      <c r="E17" s="133"/>
      <c r="F17" s="134"/>
      <c r="G17" s="9"/>
      <c r="H17" s="9" t="s">
        <v>3</v>
      </c>
      <c r="I17" s="1"/>
    </row>
    <row r="18" spans="1:9" x14ac:dyDescent="0.25">
      <c r="A18" s="1"/>
      <c r="B18" s="104" t="s">
        <v>193</v>
      </c>
      <c r="C18" s="105"/>
      <c r="D18" s="105"/>
      <c r="E18" s="105"/>
      <c r="F18" s="10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LmJsuJ7QE3+1Z10/a3Aonz4d+5xxaCNbCYOQ3Gh9wbVpyyXJamc0l31rKZIjlbU+el/2US04zcK2ys4O/YczqA==" saltValue="q6ZVIBvL5mRvZRrr+cZpO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177</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4" t="s">
        <v>155</v>
      </c>
      <c r="C8" s="105"/>
      <c r="D8" s="105"/>
      <c r="E8" s="105"/>
      <c r="F8" s="105"/>
      <c r="G8" s="105"/>
      <c r="H8" s="105"/>
      <c r="I8" s="105"/>
      <c r="J8" s="105"/>
      <c r="K8" s="106"/>
      <c r="L8" s="1"/>
    </row>
    <row r="9" spans="1:12" ht="39.75" customHeight="1" x14ac:dyDescent="0.25">
      <c r="A9" s="1"/>
      <c r="B9" s="18" t="s">
        <v>0</v>
      </c>
      <c r="C9" s="18" t="s">
        <v>1</v>
      </c>
      <c r="D9" s="135" t="s">
        <v>170</v>
      </c>
      <c r="E9" s="136"/>
      <c r="F9" s="135" t="s">
        <v>2</v>
      </c>
      <c r="G9" s="136"/>
      <c r="H9" s="135" t="s">
        <v>171</v>
      </c>
      <c r="I9" s="136"/>
      <c r="J9" s="135" t="s">
        <v>26</v>
      </c>
      <c r="K9" s="136"/>
      <c r="L9" s="1"/>
    </row>
    <row r="10" spans="1:12" x14ac:dyDescent="0.25">
      <c r="A10" s="1"/>
      <c r="B10" s="75"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64"/>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MpjkZEvTASGCK0CWyZmL/yHA8W9qGC3hS7z0M5qiWX7cqGEHlfpEi29obiEalmkVIsQfHf5ZbCipY0LtQ4U67g==" saltValue="zSTOoFWhCLWgae5QYy6Rx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178</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3" t="s">
        <v>15</v>
      </c>
      <c r="C9" s="73" t="s">
        <v>10</v>
      </c>
      <c r="D9" s="74"/>
      <c r="E9" s="73"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247</v>
      </c>
      <c r="C11" s="21">
        <v>1851.25</v>
      </c>
      <c r="D11" s="14" t="s">
        <v>3</v>
      </c>
      <c r="E11" s="9">
        <v>11544.66</v>
      </c>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1851.25</v>
      </c>
      <c r="D17" s="13" t="s">
        <v>3</v>
      </c>
      <c r="E17" s="12">
        <f>SUM(E10:E16)</f>
        <v>11544.66</v>
      </c>
      <c r="F17" s="13" t="s">
        <v>3</v>
      </c>
      <c r="G17" s="1"/>
    </row>
    <row r="18" spans="1:7" x14ac:dyDescent="0.25">
      <c r="A18" s="1"/>
      <c r="B18" s="52" t="s">
        <v>209</v>
      </c>
      <c r="C18" s="12">
        <f>C17*(1+'Fane 13. Nøgletal'!C16)</f>
        <v>2000.8309999999999</v>
      </c>
      <c r="D18" s="13" t="s">
        <v>3</v>
      </c>
      <c r="E18" s="12">
        <f>E17*(1+'Fane 13. Nøgletal'!C16)</f>
        <v>12477.468527999999</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9gtsY6O8CYzeIck0P7tmmmGSsWgfOroLyOeAdMalgWokOfzxk8TD9IkuheVxcQmpe7qkax1k+hnn17EjLYqiIQ==" saltValue="+LLr6awUMzjriYlVOUA+S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179</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4" t="s">
        <v>217</v>
      </c>
      <c r="C9" s="105"/>
      <c r="D9" s="105"/>
      <c r="E9" s="105"/>
      <c r="F9" s="106"/>
      <c r="G9" s="1"/>
    </row>
    <row r="10" spans="1:7" ht="26.25" x14ac:dyDescent="0.25">
      <c r="A10" s="1"/>
      <c r="B10" s="73" t="s">
        <v>15</v>
      </c>
      <c r="C10" s="73" t="s">
        <v>10</v>
      </c>
      <c r="D10" s="74"/>
      <c r="E10" s="73" t="s">
        <v>27</v>
      </c>
      <c r="F10" s="30"/>
      <c r="G10" s="1"/>
    </row>
    <row r="11" spans="1:7" x14ac:dyDescent="0.25">
      <c r="A11" s="1"/>
      <c r="B11" s="23" t="s">
        <v>248</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2L66gYHRM+CM11MCvm6ZxFbJ+HHy8Ckur7KoDv0/LFgkVEauSBA0kwNCtjy9sEP/Kv0xjydTKvwoZX3w3Dogxw==" saltValue="jyvBgnpbLsTS1HcuyVWP0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180</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4" t="s">
        <v>104</v>
      </c>
      <c r="C8" s="105"/>
      <c r="D8" s="105"/>
      <c r="E8" s="105"/>
      <c r="F8" s="106"/>
      <c r="G8" s="1"/>
    </row>
    <row r="9" spans="1:7" ht="15" customHeight="1" x14ac:dyDescent="0.25">
      <c r="A9" s="1"/>
      <c r="B9" s="54" t="s">
        <v>105</v>
      </c>
      <c r="C9" s="129" t="s">
        <v>10</v>
      </c>
      <c r="D9" s="131"/>
      <c r="E9" s="129" t="s">
        <v>27</v>
      </c>
      <c r="F9" s="131"/>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2kqWfJUwU3t7UlO/9RhglnUGfDhOCexC7pEBz/NlP5t1/+uP2C3UILTqPBOT2r539sH8S6LB5gaK7g098QXoDQ==" saltValue="PYsBI01tdz0KXcBiGP3km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181</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4" t="s">
        <v>237</v>
      </c>
      <c r="C10" s="105"/>
      <c r="D10" s="105"/>
      <c r="E10" s="105"/>
      <c r="F10" s="106"/>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WSDVLsvQBZDQR8fRsi3/jNqhL1UwHa6e65GCbTJ4Mdkb4sK9Rr8NVH828ebTe5xGD67LWHt1kMOSEkCDpBXpQ==" saltValue="Hpw+KpoQV3/Idiksc3npb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7" t="s">
        <v>182</v>
      </c>
      <c r="C3" s="97"/>
      <c r="D3" s="1"/>
    </row>
    <row r="4" spans="1:4" ht="25.5" customHeight="1" x14ac:dyDescent="0.25">
      <c r="A4" s="1"/>
      <c r="B4" s="97"/>
      <c r="C4" s="97"/>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68" t="s">
        <v>93</v>
      </c>
      <c r="C9" s="40">
        <v>1.2699999999999999E-2</v>
      </c>
      <c r="D9" s="1"/>
    </row>
    <row r="10" spans="1:4" x14ac:dyDescent="0.25">
      <c r="A10" s="1"/>
      <c r="B10" s="68" t="s">
        <v>21</v>
      </c>
      <c r="C10" s="40">
        <v>1.7500000000000002E-2</v>
      </c>
      <c r="D10" s="1"/>
    </row>
    <row r="11" spans="1:4" x14ac:dyDescent="0.25">
      <c r="A11" s="1"/>
      <c r="B11" s="68"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4"/>
      <c r="C17" s="106"/>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68" t="s">
        <v>95</v>
      </c>
      <c r="C21" s="42">
        <v>9.1000000000000004E-3</v>
      </c>
      <c r="D21" s="1"/>
    </row>
    <row r="22" spans="1:4" x14ac:dyDescent="0.25">
      <c r="A22" s="1"/>
      <c r="B22" s="68" t="s">
        <v>96</v>
      </c>
      <c r="C22" s="42">
        <v>1.77E-2</v>
      </c>
      <c r="D22" s="1"/>
    </row>
    <row r="23" spans="1:4" x14ac:dyDescent="0.25">
      <c r="A23" s="1"/>
      <c r="B23" s="68" t="s">
        <v>97</v>
      </c>
      <c r="C23" s="42">
        <v>8.6999999999999994E-3</v>
      </c>
      <c r="D23" s="1"/>
    </row>
    <row r="24" spans="1:4" x14ac:dyDescent="0.25">
      <c r="A24" s="1"/>
      <c r="B24" s="68" t="s">
        <v>98</v>
      </c>
      <c r="C24" s="42">
        <v>2.8400000000000002E-2</v>
      </c>
      <c r="D24" s="1"/>
    </row>
    <row r="25" spans="1:4" x14ac:dyDescent="0.25">
      <c r="A25" s="1"/>
      <c r="B25" s="68" t="s">
        <v>111</v>
      </c>
      <c r="C25" s="42">
        <v>2.75E-2</v>
      </c>
      <c r="D25" s="1"/>
    </row>
    <row r="26" spans="1:4" x14ac:dyDescent="0.25">
      <c r="A26" s="1"/>
      <c r="B26" s="68"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68"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6fVKo28PniItE88/jexstDe1OLX0lLIDCBmlziHXdiRkO223v58WozeBA+lHm8ThG4z8n5LicV0MCsoO/fd1NQ==" saltValue="73P+VOAi1J4s4OT6MtbI9A=="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11439924.351587635</v>
      </c>
      <c r="D8" s="8" t="s">
        <v>3</v>
      </c>
      <c r="E8" s="1"/>
    </row>
    <row r="9" spans="1:5" ht="17.100000000000001" customHeight="1" x14ac:dyDescent="0.25">
      <c r="A9" s="1"/>
      <c r="B9" s="24" t="s">
        <v>33</v>
      </c>
      <c r="C9" s="7">
        <f>'Fane 10.1. Varige tillæg'!C18</f>
        <v>2000.8309999999999</v>
      </c>
      <c r="D9" s="8" t="s">
        <v>3</v>
      </c>
      <c r="E9" s="1"/>
    </row>
    <row r="10" spans="1:5" ht="17.100000000000001" customHeight="1" x14ac:dyDescent="0.25">
      <c r="A10" s="1"/>
      <c r="B10" s="24" t="s">
        <v>34</v>
      </c>
      <c r="C10" s="9">
        <f>'Fane 10.1. Varige tillæg'!E18</f>
        <v>12477.468527999999</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408431.15351838217</v>
      </c>
      <c r="D15" s="8" t="s">
        <v>3</v>
      </c>
      <c r="E15" s="1"/>
    </row>
    <row r="16" spans="1:5" ht="17.100000000000001" customHeight="1" x14ac:dyDescent="0.25">
      <c r="A16" s="1"/>
      <c r="B16" s="24" t="s">
        <v>9</v>
      </c>
      <c r="C16" s="9">
        <f>-SUM(C8,C9:C15)*'Fane 5. Individuelt eff. krav'!G9</f>
        <v>-88436.413267269032</v>
      </c>
      <c r="D16" s="8" t="s">
        <v>3</v>
      </c>
      <c r="E16" s="1"/>
    </row>
    <row r="17" spans="1:5" ht="17.100000000000001" customHeight="1" x14ac:dyDescent="0.25">
      <c r="A17" s="1"/>
      <c r="B17" s="24" t="s">
        <v>22</v>
      </c>
      <c r="C17" s="9">
        <f>-'Fane 4.1. Gen. krav - drift'!G49</f>
        <v>-132418.2623512134</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0" t="s">
        <v>19</v>
      </c>
      <c r="C19" s="10">
        <f>SUM(C8:C18)</f>
        <v>11641979.129015535</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14039615.4706528</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0" t="s">
        <v>76</v>
      </c>
      <c r="C27" s="10">
        <f>SUM(C23:C26)</f>
        <v>0</v>
      </c>
      <c r="D27" s="11" t="s">
        <v>3</v>
      </c>
      <c r="E27" s="1"/>
    </row>
    <row r="28" spans="1:5" ht="15" customHeight="1" x14ac:dyDescent="0.25">
      <c r="A28" s="1"/>
      <c r="B28" s="26" t="s">
        <v>117</v>
      </c>
      <c r="C28" s="53"/>
      <c r="D28" s="19"/>
      <c r="E28" s="1"/>
    </row>
    <row r="29" spans="1:5" x14ac:dyDescent="0.25">
      <c r="A29" s="1"/>
      <c r="B29" s="69" t="s">
        <v>118</v>
      </c>
      <c r="C29" s="10">
        <f>'Fane 7. Kontrol af ØR2022'!E27</f>
        <v>377706.14515310712</v>
      </c>
      <c r="D29" s="11" t="s">
        <v>3</v>
      </c>
      <c r="E29" s="1"/>
    </row>
    <row r="30" spans="1:5" x14ac:dyDescent="0.25">
      <c r="A30" s="1"/>
      <c r="B30" s="26" t="s">
        <v>138</v>
      </c>
      <c r="C30" s="53"/>
      <c r="D30" s="19"/>
      <c r="E30" s="1"/>
    </row>
    <row r="31" spans="1:5" x14ac:dyDescent="0.25">
      <c r="A31" s="1"/>
      <c r="B31" s="69" t="s">
        <v>139</v>
      </c>
      <c r="C31" s="10">
        <f>'Fane 8. Skattesagen'!G13</f>
        <v>0</v>
      </c>
      <c r="D31" s="11" t="s">
        <v>3</v>
      </c>
      <c r="E31" s="1"/>
    </row>
    <row r="32" spans="1:5" x14ac:dyDescent="0.25">
      <c r="A32" s="1"/>
      <c r="B32" s="52" t="s">
        <v>126</v>
      </c>
      <c r="C32" s="33">
        <f>SUM(C19,C21,C27,C29,C31)</f>
        <v>26059300.744821444</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5Zxr+dExds7DgVwpv9hBDzvMb/IgJcZR1DtobtpQnKrgi0CKHhlTUgdsVA6Of2JT/Z1D6CpEMNagP9KntH1TAA==" saltValue="JfzeSs9z+3zyHs46zS1Ia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199</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11641979.129015535</v>
      </c>
      <c r="D8" s="8" t="s">
        <v>3</v>
      </c>
      <c r="E8" s="1"/>
    </row>
    <row r="9" spans="1:5" ht="15" customHeight="1" x14ac:dyDescent="0.25">
      <c r="A9" s="1"/>
      <c r="B9" s="29" t="s">
        <v>17</v>
      </c>
      <c r="C9" s="9">
        <f>SUM(C8:C8)*'Fane 13. Nøgletal'!C16</f>
        <v>940671.91362445522</v>
      </c>
      <c r="D9" s="8" t="s">
        <v>3</v>
      </c>
      <c r="E9" s="1"/>
    </row>
    <row r="10" spans="1:5" ht="15" customHeight="1" x14ac:dyDescent="0.25">
      <c r="A10" s="1"/>
      <c r="B10" s="29" t="s">
        <v>9</v>
      </c>
      <c r="C10" s="9">
        <f>-SUM(C8:C9)*'Fane 5. Individuelt eff. krav'!G9</f>
        <v>-93802.589324825633</v>
      </c>
      <c r="D10" s="8" t="s">
        <v>3</v>
      </c>
      <c r="E10" s="1"/>
    </row>
    <row r="11" spans="1:5" ht="15" customHeight="1" x14ac:dyDescent="0.25">
      <c r="A11" s="1"/>
      <c r="B11" s="29" t="s">
        <v>22</v>
      </c>
      <c r="C11" s="9">
        <f>-'Fane 4.1. Gen. krav - drift'!G54</f>
        <v>-140255.30479020762</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12348593.148524955</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15174016.400681546</v>
      </c>
      <c r="D15" s="11" t="s">
        <v>3</v>
      </c>
      <c r="E15" s="1"/>
    </row>
    <row r="16" spans="1:5" x14ac:dyDescent="0.25">
      <c r="A16" s="1"/>
      <c r="B16" s="26" t="s">
        <v>117</v>
      </c>
      <c r="C16" s="53"/>
      <c r="D16" s="19"/>
      <c r="E16" s="1"/>
    </row>
    <row r="17" spans="1:5" ht="15" customHeight="1" x14ac:dyDescent="0.25">
      <c r="A17" s="1"/>
      <c r="B17" s="69" t="s">
        <v>118</v>
      </c>
      <c r="C17" s="10">
        <f>'Fane 7. Kontrol af ØR2022'!E33</f>
        <v>0</v>
      </c>
      <c r="D17" s="11" t="s">
        <v>3</v>
      </c>
      <c r="E17" s="1"/>
    </row>
    <row r="18" spans="1:5" x14ac:dyDescent="0.25">
      <c r="A18" s="1"/>
      <c r="B18" s="26" t="s">
        <v>138</v>
      </c>
      <c r="C18" s="53"/>
      <c r="D18" s="19"/>
      <c r="E18" s="1"/>
    </row>
    <row r="19" spans="1:5" x14ac:dyDescent="0.25">
      <c r="A19" s="1"/>
      <c r="B19" s="69" t="s">
        <v>139</v>
      </c>
      <c r="C19" s="10">
        <f>'Fane 8. Skattesagen'!G13</f>
        <v>0</v>
      </c>
      <c r="D19" s="11" t="s">
        <v>3</v>
      </c>
      <c r="E19" s="1"/>
    </row>
    <row r="20" spans="1:5" x14ac:dyDescent="0.25">
      <c r="A20" s="1"/>
      <c r="B20" s="52" t="s">
        <v>128</v>
      </c>
      <c r="C20" s="12">
        <f>SUM(C13,C15,C17,C19)</f>
        <v>27522609.549206503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dYsEYj+QeUv7fSro+YtWIiKCpzO8QclJye38/fwxEvMkjFz9ePz6tqsNkGkFu9lpVy6us1mw9hk0i31s9bowA==" saltValue="kaUe1zWdVlFNL8J4iQf/x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12348593.148524955</v>
      </c>
      <c r="D8" s="8" t="s">
        <v>3</v>
      </c>
      <c r="E8" s="1"/>
    </row>
    <row r="9" spans="1:5" ht="15" customHeight="1" x14ac:dyDescent="0.25">
      <c r="A9" s="1"/>
      <c r="B9" s="29" t="s">
        <v>17</v>
      </c>
      <c r="C9" s="9">
        <f>SUM(C8:C8)*'Fane 13. Nøgletal'!C16</f>
        <v>997766.32640081632</v>
      </c>
      <c r="D9" s="8" t="s">
        <v>3</v>
      </c>
      <c r="E9" s="1"/>
    </row>
    <row r="10" spans="1:5" ht="15" customHeight="1" x14ac:dyDescent="0.25">
      <c r="A10" s="1"/>
      <c r="B10" s="29" t="s">
        <v>9</v>
      </c>
      <c r="C10" s="9">
        <f>-SUM(C8:C9)*'Fane 5. Individuelt eff. krav'!G9</f>
        <v>-99495.970488687206</v>
      </c>
      <c r="D10" s="8" t="s">
        <v>3</v>
      </c>
      <c r="E10" s="1"/>
    </row>
    <row r="11" spans="1:5" ht="15" customHeight="1" x14ac:dyDescent="0.25">
      <c r="A11" s="1"/>
      <c r="B11" s="29" t="s">
        <v>22</v>
      </c>
      <c r="C11" s="9">
        <f>-'Fane 4.1. Gen. krav - drift'!G59</f>
        <v>-148556.17474891126</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13098307.329688173</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16400076.925856614</v>
      </c>
      <c r="D15" s="11" t="s">
        <v>3</v>
      </c>
      <c r="E15" s="1"/>
    </row>
    <row r="16" spans="1:5" x14ac:dyDescent="0.25">
      <c r="A16" s="1"/>
      <c r="B16" s="52" t="s">
        <v>117</v>
      </c>
      <c r="C16" s="53"/>
      <c r="D16" s="19"/>
      <c r="E16" s="1"/>
    </row>
    <row r="17" spans="1:5" x14ac:dyDescent="0.25">
      <c r="A17" s="1"/>
      <c r="B17" s="54" t="s">
        <v>118</v>
      </c>
      <c r="C17" s="10">
        <f>'Fane 7. Kontrol af ØR2022'!E33</f>
        <v>0</v>
      </c>
      <c r="D17" s="11" t="s">
        <v>3</v>
      </c>
      <c r="E17" s="1"/>
    </row>
    <row r="18" spans="1:5" ht="15" customHeight="1" x14ac:dyDescent="0.25">
      <c r="A18" s="1"/>
      <c r="B18" s="26" t="s">
        <v>138</v>
      </c>
      <c r="C18" s="53"/>
      <c r="D18" s="19"/>
      <c r="E18" s="1"/>
    </row>
    <row r="19" spans="1:5" ht="15" customHeight="1" x14ac:dyDescent="0.25">
      <c r="A19" s="1"/>
      <c r="B19" s="69" t="s">
        <v>139</v>
      </c>
      <c r="C19" s="10">
        <f>'Fane 8. Skattesagen'!G14</f>
        <v>0</v>
      </c>
      <c r="D19" s="11" t="s">
        <v>3</v>
      </c>
      <c r="E19" s="1"/>
    </row>
    <row r="20" spans="1:5" x14ac:dyDescent="0.25">
      <c r="A20" s="1"/>
      <c r="B20" s="52" t="s">
        <v>143</v>
      </c>
      <c r="C20" s="12">
        <f>SUM(C13,C15,C17,C19)</f>
        <v>29498384.255544789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0XXDVp5/NxssWGZkWBJgoPbp1v6tLyoARtzVqwOdVFBQwrpP2b10YnXSiuTyNGOJh9WHAEgkbw2NJFwB+ALKIQ==" saltValue="OmYmiAPgnLdWt63V7Wknc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204</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13098307.329688173</v>
      </c>
      <c r="D8" s="8" t="s">
        <v>3</v>
      </c>
      <c r="E8" s="1"/>
    </row>
    <row r="9" spans="1:5" ht="15" customHeight="1" x14ac:dyDescent="0.25">
      <c r="A9" s="1"/>
      <c r="B9" s="29" t="s">
        <v>17</v>
      </c>
      <c r="C9" s="9">
        <f>SUM(C8:C8)*'Fane 13. Nøgletal'!C16</f>
        <v>1058343.2322388042</v>
      </c>
      <c r="D9" s="8" t="s">
        <v>3</v>
      </c>
      <c r="E9" s="1"/>
    </row>
    <row r="10" spans="1:5" ht="15" customHeight="1" x14ac:dyDescent="0.25">
      <c r="A10" s="1"/>
      <c r="B10" s="29" t="s">
        <v>9</v>
      </c>
      <c r="C10" s="9">
        <f>-SUM(C8:C9)*'Fane 5. Individuelt eff. krav'!G9</f>
        <v>-105536.62136662759</v>
      </c>
      <c r="D10" s="8" t="s">
        <v>3</v>
      </c>
      <c r="E10" s="1"/>
    </row>
    <row r="11" spans="1:5" ht="15" customHeight="1" x14ac:dyDescent="0.25">
      <c r="A11" s="1"/>
      <c r="B11" s="29" t="s">
        <v>22</v>
      </c>
      <c r="C11" s="9">
        <f>-'Fane 4.1. Gen. krav - drift'!G64</f>
        <v>-157348.3233952508</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13893765.6171651</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17725203.141465828</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69" t="s">
        <v>139</v>
      </c>
      <c r="C19" s="10">
        <f>'Fane 8. Skattesagen'!G15</f>
        <v>0</v>
      </c>
      <c r="D19" s="11" t="s">
        <v>3</v>
      </c>
      <c r="E19" s="1"/>
    </row>
    <row r="20" spans="1:5" x14ac:dyDescent="0.25">
      <c r="A20" s="1"/>
      <c r="B20" s="52" t="s">
        <v>205</v>
      </c>
      <c r="C20" s="12">
        <f>SUM(C13,C15,C17,C19)</f>
        <v>31618968.758630928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RVXwGf7ur5VAvIbrRDB+E+z2MFVuapM5Mf1TeTxKegQI+vsDDcg6urb4/GzIyL69UV99ezic2qvpx2u5GAE5g==" saltValue="C4M0nNMEyvPNbDNoER5uu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7" t="s">
        <v>201</v>
      </c>
      <c r="C3" s="97"/>
      <c r="D3" s="97"/>
      <c r="E3" s="1"/>
    </row>
    <row r="4" spans="1:5"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11171164.425851731</v>
      </c>
      <c r="D8" s="8" t="s">
        <v>3</v>
      </c>
      <c r="E8" s="1"/>
    </row>
    <row r="9" spans="1:5" x14ac:dyDescent="0.25">
      <c r="A9" s="1"/>
      <c r="B9" s="24" t="s">
        <v>33</v>
      </c>
      <c r="C9" s="7">
        <v>0</v>
      </c>
      <c r="D9" s="8" t="s">
        <v>3</v>
      </c>
      <c r="E9" s="1"/>
    </row>
    <row r="10" spans="1:5" x14ac:dyDescent="0.25">
      <c r="A10" s="1"/>
      <c r="B10" s="24" t="s">
        <v>34</v>
      </c>
      <c r="C10" s="9">
        <v>85364.508000000002</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400732.43004512158</v>
      </c>
      <c r="D15" s="8" t="s">
        <v>3</v>
      </c>
      <c r="E15" s="1"/>
    </row>
    <row r="16" spans="1:5" x14ac:dyDescent="0.25">
      <c r="A16" s="1"/>
      <c r="B16" s="24" t="s">
        <v>9</v>
      </c>
      <c r="C16" s="9">
        <v>-86903.88827157268</v>
      </c>
      <c r="D16" s="8" t="s">
        <v>3</v>
      </c>
      <c r="E16" s="1"/>
    </row>
    <row r="17" spans="1:5" x14ac:dyDescent="0.25">
      <c r="A17" s="1"/>
      <c r="B17" s="24" t="s">
        <v>22</v>
      </c>
      <c r="C17" s="9">
        <v>-130433.12403764494</v>
      </c>
      <c r="D17" s="8" t="s">
        <v>3</v>
      </c>
      <c r="E17" s="1"/>
    </row>
    <row r="18" spans="1:5" x14ac:dyDescent="0.25">
      <c r="A18" s="1"/>
      <c r="B18" s="24" t="s">
        <v>23</v>
      </c>
      <c r="C18" s="9">
        <v>0</v>
      </c>
      <c r="D18" s="8" t="s">
        <v>3</v>
      </c>
      <c r="E18" s="1"/>
    </row>
    <row r="19" spans="1:5" x14ac:dyDescent="0.25">
      <c r="A19" s="1"/>
      <c r="B19" s="70" t="s">
        <v>19</v>
      </c>
      <c r="C19" s="10">
        <v>11439924.351587635</v>
      </c>
      <c r="D19" s="11" t="s">
        <v>3</v>
      </c>
      <c r="E19" s="1"/>
    </row>
    <row r="20" spans="1:5" x14ac:dyDescent="0.25">
      <c r="A20" s="1"/>
      <c r="B20" s="52" t="s">
        <v>11</v>
      </c>
      <c r="C20" s="53"/>
      <c r="D20" s="19"/>
      <c r="E20" s="1"/>
    </row>
    <row r="21" spans="1:5" x14ac:dyDescent="0.25">
      <c r="A21" s="1"/>
      <c r="B21" s="54" t="s">
        <v>11</v>
      </c>
      <c r="C21" s="10">
        <v>15058963.565583842</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0" t="s">
        <v>76</v>
      </c>
      <c r="C27" s="57">
        <v>0</v>
      </c>
      <c r="D27" s="11" t="s">
        <v>3</v>
      </c>
      <c r="E27" s="1"/>
    </row>
    <row r="28" spans="1:5" x14ac:dyDescent="0.25">
      <c r="A28" s="1"/>
      <c r="B28" s="26" t="s">
        <v>117</v>
      </c>
      <c r="C28" s="53"/>
      <c r="D28" s="19"/>
      <c r="E28" s="1"/>
    </row>
    <row r="29" spans="1:5" x14ac:dyDescent="0.25">
      <c r="A29" s="1"/>
      <c r="B29" s="69" t="s">
        <v>118</v>
      </c>
      <c r="C29" s="10">
        <v>-717482.62085595541</v>
      </c>
      <c r="D29" s="11" t="s">
        <v>3</v>
      </c>
      <c r="E29" s="1"/>
    </row>
    <row r="30" spans="1:5" x14ac:dyDescent="0.25">
      <c r="A30" s="1"/>
      <c r="B30" s="26" t="s">
        <v>138</v>
      </c>
      <c r="C30" s="53"/>
      <c r="D30" s="19"/>
      <c r="E30" s="1"/>
    </row>
    <row r="31" spans="1:5" x14ac:dyDescent="0.25">
      <c r="A31" s="1"/>
      <c r="B31" s="69" t="s">
        <v>139</v>
      </c>
      <c r="C31" s="10">
        <v>0</v>
      </c>
      <c r="D31" s="11" t="s">
        <v>3</v>
      </c>
      <c r="E31" s="1"/>
    </row>
    <row r="32" spans="1:5" x14ac:dyDescent="0.25">
      <c r="A32" s="1"/>
      <c r="B32" s="52" t="s">
        <v>239</v>
      </c>
      <c r="C32" s="33">
        <v>25781405.296315521</v>
      </c>
      <c r="D32" s="19" t="s">
        <v>3</v>
      </c>
      <c r="E32" s="1"/>
    </row>
    <row r="33" spans="1:5" ht="30" customHeight="1" x14ac:dyDescent="0.25">
      <c r="A33" s="1"/>
      <c r="B33" s="96" t="s">
        <v>240</v>
      </c>
      <c r="C33" s="96"/>
      <c r="D33" s="96"/>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UYx2CTTAyZ3IcCL4OCuJlkFpm8oTCLQH1RTqbNpofUwl/cW30OlZx9SmKO6qyQmC1+YBOPno1Tr4vNiJQze5jw==" saltValue="QoalNm4D2kM+QVLlw3zbg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7" t="s">
        <v>90</v>
      </c>
      <c r="C1" s="97"/>
      <c r="D1" s="97"/>
      <c r="E1" s="97"/>
      <c r="F1" s="97"/>
      <c r="G1" s="97"/>
      <c r="H1" s="97"/>
      <c r="I1" s="1"/>
    </row>
    <row r="2" spans="1:9" ht="15" customHeight="1" x14ac:dyDescent="0.25">
      <c r="A2" s="1"/>
      <c r="B2" s="97"/>
      <c r="C2" s="97"/>
      <c r="D2" s="97"/>
      <c r="E2" s="97"/>
      <c r="F2" s="97"/>
      <c r="G2" s="97"/>
      <c r="H2" s="97"/>
      <c r="I2" s="1"/>
    </row>
    <row r="3" spans="1:9" ht="15" customHeight="1" x14ac:dyDescent="0.25">
      <c r="A3" s="1"/>
      <c r="B3" s="97"/>
      <c r="C3" s="97"/>
      <c r="D3" s="97"/>
      <c r="E3" s="97"/>
      <c r="F3" s="97"/>
      <c r="G3" s="97"/>
      <c r="H3" s="97"/>
      <c r="I3" s="1"/>
    </row>
    <row r="4" spans="1:9" x14ac:dyDescent="0.25">
      <c r="A4" s="1"/>
      <c r="B4" s="104" t="s">
        <v>44</v>
      </c>
      <c r="C4" s="105"/>
      <c r="D4" s="105"/>
      <c r="E4" s="105"/>
      <c r="F4" s="105"/>
      <c r="G4" s="105"/>
      <c r="H4" s="106"/>
      <c r="I4" s="1"/>
    </row>
    <row r="5" spans="1:9" x14ac:dyDescent="0.25">
      <c r="A5" s="1"/>
      <c r="B5" s="98" t="s">
        <v>36</v>
      </c>
      <c r="C5" s="99"/>
      <c r="D5" s="99"/>
      <c r="E5" s="99"/>
      <c r="F5" s="100"/>
      <c r="G5" s="47">
        <v>6266874.0174501445</v>
      </c>
      <c r="H5" s="14" t="s">
        <v>3</v>
      </c>
      <c r="I5" s="1"/>
    </row>
    <row r="6" spans="1:9" x14ac:dyDescent="0.25">
      <c r="A6" s="1"/>
      <c r="B6" s="98" t="s">
        <v>37</v>
      </c>
      <c r="C6" s="99"/>
      <c r="D6" s="99"/>
      <c r="E6" s="99"/>
      <c r="F6" s="100"/>
      <c r="G6" s="22">
        <f>G5*'Fane 13. Nøgletal'!C33</f>
        <v>125337.48034900289</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4" t="s">
        <v>45</v>
      </c>
      <c r="C9" s="105"/>
      <c r="D9" s="105"/>
      <c r="E9" s="105"/>
      <c r="F9" s="105"/>
      <c r="G9" s="105"/>
      <c r="H9" s="106"/>
      <c r="I9" s="1"/>
    </row>
    <row r="10" spans="1:9" x14ac:dyDescent="0.25">
      <c r="A10" s="1"/>
      <c r="B10" s="98" t="s">
        <v>38</v>
      </c>
      <c r="C10" s="99"/>
      <c r="D10" s="99"/>
      <c r="E10" s="99"/>
      <c r="F10" s="100"/>
      <c r="G10" s="22">
        <f>(G5-G6)*(1+'Fane 13. Nøgletal'!C9)</f>
        <v>6219534.0511223255</v>
      </c>
      <c r="H10" s="14" t="s">
        <v>3</v>
      </c>
      <c r="I10" s="1"/>
    </row>
    <row r="11" spans="1:9" x14ac:dyDescent="0.25">
      <c r="A11" s="1"/>
      <c r="B11" s="101" t="s">
        <v>228</v>
      </c>
      <c r="C11" s="102"/>
      <c r="D11" s="102"/>
      <c r="E11" s="102"/>
      <c r="F11" s="103"/>
      <c r="G11" s="47">
        <v>0</v>
      </c>
      <c r="H11" s="14" t="s">
        <v>3</v>
      </c>
      <c r="I11" s="1"/>
    </row>
    <row r="12" spans="1:9" x14ac:dyDescent="0.25">
      <c r="A12" s="1"/>
      <c r="B12" s="98" t="s">
        <v>39</v>
      </c>
      <c r="C12" s="99"/>
      <c r="D12" s="99"/>
      <c r="E12" s="99"/>
      <c r="F12" s="100"/>
      <c r="G12" s="22">
        <f>(G10+G11)*'Fane 13. Nøgletal'!C33</f>
        <v>124390.68102244652</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4" t="s">
        <v>46</v>
      </c>
      <c r="C15" s="105"/>
      <c r="D15" s="105"/>
      <c r="E15" s="105"/>
      <c r="F15" s="105"/>
      <c r="G15" s="105"/>
      <c r="H15" s="106"/>
      <c r="I15" s="1"/>
    </row>
    <row r="16" spans="1:9" x14ac:dyDescent="0.25">
      <c r="A16" s="1"/>
      <c r="B16" s="98" t="s">
        <v>40</v>
      </c>
      <c r="C16" s="99"/>
      <c r="D16" s="99"/>
      <c r="E16" s="99"/>
      <c r="F16" s="100"/>
      <c r="G16" s="22">
        <f>(G10+G11-G12)*(1+'Fane 13. Nøgletal'!C11)</f>
        <v>6198151.2930545667</v>
      </c>
      <c r="H16" s="14" t="s">
        <v>3</v>
      </c>
      <c r="I16" s="1"/>
    </row>
    <row r="17" spans="1:9" x14ac:dyDescent="0.25">
      <c r="A17" s="1"/>
      <c r="B17" s="98" t="s">
        <v>100</v>
      </c>
      <c r="C17" s="99"/>
      <c r="D17" s="99"/>
      <c r="E17" s="99"/>
      <c r="F17" s="100"/>
      <c r="G17" s="47">
        <v>0</v>
      </c>
      <c r="H17" s="14" t="s">
        <v>3</v>
      </c>
      <c r="I17" s="1"/>
    </row>
    <row r="18" spans="1:9" x14ac:dyDescent="0.25">
      <c r="A18" s="1"/>
      <c r="B18" s="101" t="s">
        <v>229</v>
      </c>
      <c r="C18" s="102"/>
      <c r="D18" s="102"/>
      <c r="E18" s="102"/>
      <c r="F18" s="103"/>
      <c r="G18" s="47">
        <v>0</v>
      </c>
      <c r="H18" s="14" t="s">
        <v>3</v>
      </c>
      <c r="I18" s="1"/>
    </row>
    <row r="19" spans="1:9" x14ac:dyDescent="0.25">
      <c r="A19" s="1"/>
      <c r="B19" s="98" t="s">
        <v>41</v>
      </c>
      <c r="C19" s="99"/>
      <c r="D19" s="99"/>
      <c r="E19" s="99"/>
      <c r="F19" s="100"/>
      <c r="G19" s="22">
        <f>SUM(G16:G18)*'Fane 13. Nøgletal'!C33</f>
        <v>123963.02586109133</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4" t="s">
        <v>47</v>
      </c>
      <c r="C22" s="105"/>
      <c r="D22" s="105"/>
      <c r="E22" s="105"/>
      <c r="F22" s="105"/>
      <c r="G22" s="105"/>
      <c r="H22" s="106"/>
      <c r="I22" s="1"/>
    </row>
    <row r="23" spans="1:9" x14ac:dyDescent="0.25">
      <c r="A23" s="1"/>
      <c r="B23" s="98" t="s">
        <v>42</v>
      </c>
      <c r="C23" s="99"/>
      <c r="D23" s="99"/>
      <c r="E23" s="99"/>
      <c r="F23" s="100"/>
      <c r="G23" s="22">
        <f>(SUM(G16:G18)-G19)*(1+'Fane 13. Nøgletal'!C11)</f>
        <v>6176842.0489090448</v>
      </c>
      <c r="H23" s="14" t="s">
        <v>3</v>
      </c>
      <c r="I23" s="1"/>
    </row>
    <row r="24" spans="1:9" x14ac:dyDescent="0.25">
      <c r="A24" s="1"/>
      <c r="B24" s="101" t="s">
        <v>230</v>
      </c>
      <c r="C24" s="102"/>
      <c r="D24" s="102"/>
      <c r="E24" s="102"/>
      <c r="F24" s="103"/>
      <c r="G24" s="47">
        <v>45393.173616088301</v>
      </c>
      <c r="H24" s="14" t="s">
        <v>3</v>
      </c>
      <c r="I24" s="1"/>
    </row>
    <row r="25" spans="1:9" x14ac:dyDescent="0.25">
      <c r="A25" s="1"/>
      <c r="B25" s="98" t="s">
        <v>43</v>
      </c>
      <c r="C25" s="99"/>
      <c r="D25" s="99"/>
      <c r="E25" s="99"/>
      <c r="F25" s="100"/>
      <c r="G25" s="22">
        <f>(G23+G24)*'Fane 13. Nøgletal'!C33</f>
        <v>124444.70445050266</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4" t="s">
        <v>121</v>
      </c>
      <c r="C28" s="105"/>
      <c r="D28" s="105"/>
      <c r="E28" s="105"/>
      <c r="F28" s="105"/>
      <c r="G28" s="105"/>
      <c r="H28" s="106"/>
      <c r="I28" s="1"/>
    </row>
    <row r="29" spans="1:9" x14ac:dyDescent="0.25">
      <c r="A29" s="1"/>
      <c r="B29" s="98" t="s">
        <v>50</v>
      </c>
      <c r="C29" s="99"/>
      <c r="D29" s="99"/>
      <c r="E29" s="99"/>
      <c r="F29" s="100"/>
      <c r="G29" s="22">
        <f>(G23+G24-G25)*(1+'Fane 13. Nøgletal'!C13)</f>
        <v>6172183.5623951405</v>
      </c>
      <c r="H29" s="14" t="s">
        <v>3</v>
      </c>
      <c r="I29" s="1"/>
    </row>
    <row r="30" spans="1:9" x14ac:dyDescent="0.25">
      <c r="A30" s="1"/>
      <c r="B30" s="98" t="s">
        <v>231</v>
      </c>
      <c r="C30" s="99"/>
      <c r="D30" s="99"/>
      <c r="E30" s="99"/>
      <c r="F30" s="100"/>
      <c r="G30" s="47">
        <v>95053.543179839995</v>
      </c>
      <c r="H30" s="14" t="s">
        <v>3</v>
      </c>
      <c r="I30" s="1"/>
    </row>
    <row r="31" spans="1:9" x14ac:dyDescent="0.25">
      <c r="A31" s="1"/>
      <c r="B31" s="98" t="s">
        <v>115</v>
      </c>
      <c r="C31" s="99"/>
      <c r="D31" s="99"/>
      <c r="E31" s="99"/>
      <c r="F31" s="100"/>
      <c r="G31" s="22">
        <f>(G29+G30)*'Fane 13. Nøgletal'!C33</f>
        <v>125344.74211149961</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4" t="s">
        <v>122</v>
      </c>
      <c r="C34" s="105"/>
      <c r="D34" s="105"/>
      <c r="E34" s="105"/>
      <c r="F34" s="105"/>
      <c r="G34" s="105"/>
      <c r="H34" s="106"/>
      <c r="I34" s="1"/>
    </row>
    <row r="35" spans="1:9" x14ac:dyDescent="0.25">
      <c r="A35" s="1"/>
      <c r="B35" s="98" t="s">
        <v>69</v>
      </c>
      <c r="C35" s="99"/>
      <c r="D35" s="99"/>
      <c r="E35" s="99"/>
      <c r="F35" s="100"/>
      <c r="G35" s="22">
        <f>(G29+G30-G31)*(1+'Fane 13. Nøgletal'!C13)</f>
        <v>6216823.4502977356</v>
      </c>
      <c r="H35" s="14" t="s">
        <v>3</v>
      </c>
      <c r="I35" s="1"/>
    </row>
    <row r="36" spans="1:9" x14ac:dyDescent="0.25">
      <c r="A36" s="1"/>
      <c r="B36" s="98" t="s">
        <v>232</v>
      </c>
      <c r="C36" s="99"/>
      <c r="D36" s="99"/>
      <c r="E36" s="99"/>
      <c r="F36" s="100"/>
      <c r="G36" s="47">
        <v>209162.67022221003</v>
      </c>
      <c r="H36" s="14" t="s">
        <v>3</v>
      </c>
      <c r="I36" s="1"/>
    </row>
    <row r="37" spans="1:9" x14ac:dyDescent="0.25">
      <c r="A37" s="1"/>
      <c r="B37" s="98" t="s">
        <v>123</v>
      </c>
      <c r="C37" s="99"/>
      <c r="D37" s="99"/>
      <c r="E37" s="99"/>
      <c r="F37" s="100"/>
      <c r="G37" s="22">
        <f>(G35+G36)*'Fane 13. Nøgletal'!C33</f>
        <v>128519.72241039891</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4" t="s">
        <v>157</v>
      </c>
      <c r="C40" s="105"/>
      <c r="D40" s="105"/>
      <c r="E40" s="105"/>
      <c r="F40" s="105"/>
      <c r="G40" s="105"/>
      <c r="H40" s="106"/>
      <c r="I40" s="1"/>
    </row>
    <row r="41" spans="1:9" x14ac:dyDescent="0.25">
      <c r="A41" s="1"/>
      <c r="B41" s="98" t="s">
        <v>68</v>
      </c>
      <c r="C41" s="99"/>
      <c r="D41" s="99"/>
      <c r="E41" s="99"/>
      <c r="F41" s="100"/>
      <c r="G41" s="22">
        <f>(G35+G36-G37)*(1+'Fane 13. Nøgletal'!C15)</f>
        <v>6521656.2018822469</v>
      </c>
      <c r="H41" s="14" t="s">
        <v>3</v>
      </c>
      <c r="I41" s="1"/>
    </row>
    <row r="42" spans="1:9" x14ac:dyDescent="0.25">
      <c r="A42" s="1"/>
      <c r="B42" s="98" t="s">
        <v>156</v>
      </c>
      <c r="C42" s="99"/>
      <c r="D42" s="99"/>
      <c r="E42" s="99"/>
      <c r="F42" s="100"/>
      <c r="G42" s="47">
        <v>0</v>
      </c>
      <c r="H42" s="14" t="s">
        <v>3</v>
      </c>
      <c r="I42" s="1"/>
    </row>
    <row r="43" spans="1:9" x14ac:dyDescent="0.25">
      <c r="A43" s="1"/>
      <c r="B43" s="98" t="s">
        <v>166</v>
      </c>
      <c r="C43" s="99"/>
      <c r="D43" s="99"/>
      <c r="E43" s="99"/>
      <c r="F43" s="100"/>
      <c r="G43" s="22">
        <f>(G41+G42)*'Fane 13. Nøgletal'!C33</f>
        <v>130433.12403764494</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4" t="s">
        <v>158</v>
      </c>
      <c r="C46" s="105"/>
      <c r="D46" s="105"/>
      <c r="E46" s="105"/>
      <c r="F46" s="105"/>
      <c r="G46" s="105"/>
      <c r="H46" s="106"/>
      <c r="I46" s="1"/>
    </row>
    <row r="47" spans="1:9" x14ac:dyDescent="0.25">
      <c r="A47" s="1"/>
      <c r="B47" s="98" t="s">
        <v>112</v>
      </c>
      <c r="C47" s="99"/>
      <c r="D47" s="99"/>
      <c r="E47" s="99"/>
      <c r="F47" s="100"/>
      <c r="G47" s="22">
        <f>(G41+G42-G43)*(1+'Fane 13. Nøgletal'!C15)</f>
        <v>6618750.6194158699</v>
      </c>
      <c r="H47" s="14" t="s">
        <v>3</v>
      </c>
      <c r="I47" s="1"/>
    </row>
    <row r="48" spans="1:9" x14ac:dyDescent="0.25">
      <c r="A48" s="1"/>
      <c r="B48" s="98" t="s">
        <v>206</v>
      </c>
      <c r="C48" s="99"/>
      <c r="D48" s="99"/>
      <c r="E48" s="99"/>
      <c r="F48" s="100"/>
      <c r="G48" s="22">
        <f>('Fane 2.1. Økonomisk ramme 2024'!C9+'Fane 2.1. Økonomisk ramme 2024'!C11+'Fane 2.1. Økonomisk ramme 2024'!C13)*(1+'Fane 13. Nøgletal'!C16)</f>
        <v>2162.4981447999999</v>
      </c>
      <c r="H48" s="14" t="s">
        <v>3</v>
      </c>
      <c r="I48" s="1"/>
    </row>
    <row r="49" spans="1:9" x14ac:dyDescent="0.25">
      <c r="A49" s="1"/>
      <c r="B49" s="98" t="s">
        <v>167</v>
      </c>
      <c r="C49" s="99"/>
      <c r="D49" s="99"/>
      <c r="E49" s="99"/>
      <c r="F49" s="100"/>
      <c r="G49" s="22">
        <f>G47*'Fane 13. Nøgletal'!C33+G48*'Fane 13. Nøgletal'!C33</f>
        <v>132418.2623512134</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4" t="s">
        <v>133</v>
      </c>
      <c r="C52" s="105"/>
      <c r="D52" s="105"/>
      <c r="E52" s="105"/>
      <c r="F52" s="105"/>
      <c r="G52" s="105"/>
      <c r="H52" s="106"/>
      <c r="I52" s="1"/>
    </row>
    <row r="53" spans="1:9" x14ac:dyDescent="0.25">
      <c r="A53" s="1"/>
      <c r="B53" s="98" t="s">
        <v>134</v>
      </c>
      <c r="C53" s="99"/>
      <c r="D53" s="99"/>
      <c r="E53" s="99"/>
      <c r="F53" s="100"/>
      <c r="G53" s="22">
        <f>(G47+G48-G49)*(1+'Fane 13. Nøgletal'!C16)</f>
        <v>7012765.2395103807</v>
      </c>
      <c r="H53" s="14" t="s">
        <v>3</v>
      </c>
      <c r="I53" s="1"/>
    </row>
    <row r="54" spans="1:9" x14ac:dyDescent="0.25">
      <c r="A54" s="1"/>
      <c r="B54" s="98" t="s">
        <v>135</v>
      </c>
      <c r="C54" s="99"/>
      <c r="D54" s="99"/>
      <c r="E54" s="99"/>
      <c r="F54" s="100"/>
      <c r="G54" s="22">
        <f>(G53)*'Fane 13. Nøgletal'!C33</f>
        <v>140255.30479020762</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4" t="s">
        <v>144</v>
      </c>
      <c r="C57" s="105"/>
      <c r="D57" s="105"/>
      <c r="E57" s="105"/>
      <c r="F57" s="105"/>
      <c r="G57" s="105"/>
      <c r="H57" s="106"/>
      <c r="I57" s="1"/>
    </row>
    <row r="58" spans="1:9" x14ac:dyDescent="0.25">
      <c r="A58" s="1"/>
      <c r="B58" s="98" t="s">
        <v>145</v>
      </c>
      <c r="C58" s="99"/>
      <c r="D58" s="99"/>
      <c r="E58" s="99"/>
      <c r="F58" s="100"/>
      <c r="G58" s="22">
        <f>(G53-G54)*(1+'Fane 13. Nøgletal'!C16)</f>
        <v>7427808.7374455631</v>
      </c>
      <c r="H58" s="14" t="s">
        <v>3</v>
      </c>
      <c r="I58" s="1"/>
    </row>
    <row r="59" spans="1:9" x14ac:dyDescent="0.25">
      <c r="A59" s="1"/>
      <c r="B59" s="98" t="s">
        <v>146</v>
      </c>
      <c r="C59" s="99"/>
      <c r="D59" s="99"/>
      <c r="E59" s="99"/>
      <c r="F59" s="100"/>
      <c r="G59" s="22">
        <f>(G58)*'Fane 13. Nøgletal'!C33</f>
        <v>148556.17474891126</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4" t="s">
        <v>220</v>
      </c>
      <c r="C62" s="105"/>
      <c r="D62" s="105"/>
      <c r="E62" s="105"/>
      <c r="F62" s="105"/>
      <c r="G62" s="105"/>
      <c r="H62" s="106"/>
      <c r="I62" s="1"/>
    </row>
    <row r="63" spans="1:9" x14ac:dyDescent="0.25">
      <c r="A63" s="1"/>
      <c r="B63" s="98" t="s">
        <v>221</v>
      </c>
      <c r="C63" s="99"/>
      <c r="D63" s="99"/>
      <c r="E63" s="99"/>
      <c r="F63" s="100"/>
      <c r="G63" s="22">
        <f>(G58-G59)*(1+'Fane 13. Nøgletal'!C16)</f>
        <v>7867416.1697625406</v>
      </c>
      <c r="H63" s="14" t="s">
        <v>3</v>
      </c>
      <c r="I63" s="1"/>
    </row>
    <row r="64" spans="1:9" x14ac:dyDescent="0.25">
      <c r="A64" s="1"/>
      <c r="B64" s="98" t="s">
        <v>222</v>
      </c>
      <c r="C64" s="99"/>
      <c r="D64" s="99"/>
      <c r="E64" s="99"/>
      <c r="F64" s="100"/>
      <c r="G64" s="22">
        <f>(G63)*'Fane 13. Nøgletal'!C33</f>
        <v>157348.3233952508</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iRRnDyBYhkz5P+/Z73nVqK6CQaghsC90B74Ver5iyC0T/b1bob1fgeJSu/DTqUckBG4rZhHDk+A5JL48/HkXug==" saltValue="FPvE/mf+QnzAYm1BOc00lw=="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7" t="s">
        <v>91</v>
      </c>
      <c r="C1" s="108"/>
      <c r="D1" s="108"/>
      <c r="E1" s="108"/>
      <c r="F1" s="108"/>
      <c r="G1" s="108"/>
      <c r="H1" s="108"/>
      <c r="I1" s="1"/>
    </row>
    <row r="2" spans="1:9" ht="19.899999999999999" customHeight="1" x14ac:dyDescent="0.25">
      <c r="A2" s="1"/>
      <c r="B2" s="108"/>
      <c r="C2" s="108"/>
      <c r="D2" s="108"/>
      <c r="E2" s="108"/>
      <c r="F2" s="108"/>
      <c r="G2" s="108"/>
      <c r="H2" s="108"/>
      <c r="I2" s="1"/>
    </row>
    <row r="3" spans="1:9" ht="15" customHeight="1" x14ac:dyDescent="0.25">
      <c r="A3" s="1"/>
      <c r="B3" s="109"/>
      <c r="C3" s="109"/>
      <c r="D3" s="109"/>
      <c r="E3" s="109"/>
      <c r="F3" s="109"/>
      <c r="G3" s="109"/>
      <c r="H3" s="109"/>
      <c r="I3" s="1"/>
    </row>
    <row r="4" spans="1:9" x14ac:dyDescent="0.25">
      <c r="A4" s="1"/>
      <c r="B4" s="104" t="s">
        <v>48</v>
      </c>
      <c r="C4" s="105"/>
      <c r="D4" s="105"/>
      <c r="E4" s="105"/>
      <c r="F4" s="105"/>
      <c r="G4" s="105"/>
      <c r="H4" s="106"/>
      <c r="I4" s="1"/>
    </row>
    <row r="5" spans="1:9" x14ac:dyDescent="0.25">
      <c r="A5" s="1"/>
      <c r="B5" s="98" t="s">
        <v>51</v>
      </c>
      <c r="C5" s="99"/>
      <c r="D5" s="99"/>
      <c r="E5" s="99"/>
      <c r="F5" s="100"/>
      <c r="G5" s="47">
        <v>4604939.6396521218</v>
      </c>
      <c r="H5" s="14" t="s">
        <v>3</v>
      </c>
      <c r="I5" s="1"/>
    </row>
    <row r="6" spans="1:9" x14ac:dyDescent="0.25">
      <c r="A6" s="1"/>
      <c r="B6" s="98" t="s">
        <v>49</v>
      </c>
      <c r="C6" s="99"/>
      <c r="D6" s="99"/>
      <c r="E6" s="99"/>
      <c r="F6" s="100"/>
      <c r="G6" s="22">
        <f>G5*'Fane 13. Nøgletal'!C21</f>
        <v>41904.950720834313</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4" t="s">
        <v>52</v>
      </c>
      <c r="C9" s="105"/>
      <c r="D9" s="105"/>
      <c r="E9" s="105"/>
      <c r="F9" s="105"/>
      <c r="G9" s="105"/>
      <c r="H9" s="106"/>
      <c r="I9" s="1"/>
    </row>
    <row r="10" spans="1:9" x14ac:dyDescent="0.25">
      <c r="A10" s="1"/>
      <c r="B10" s="98" t="s">
        <v>53</v>
      </c>
      <c r="C10" s="99"/>
      <c r="D10" s="99"/>
      <c r="E10" s="99"/>
      <c r="F10" s="100"/>
      <c r="G10" s="22">
        <f>(G5-G6)*(1+'Fane 13. Nøgletal'!C9)</f>
        <v>4620985.2294807145</v>
      </c>
      <c r="H10" s="14" t="s">
        <v>3</v>
      </c>
      <c r="I10" s="1"/>
    </row>
    <row r="11" spans="1:9" x14ac:dyDescent="0.25">
      <c r="A11" s="1"/>
      <c r="B11" s="101" t="s">
        <v>54</v>
      </c>
      <c r="C11" s="102"/>
      <c r="D11" s="102"/>
      <c r="E11" s="102"/>
      <c r="F11" s="103"/>
      <c r="G11" s="48">
        <v>0</v>
      </c>
      <c r="H11" s="14" t="s">
        <v>3</v>
      </c>
      <c r="I11" s="1"/>
    </row>
    <row r="12" spans="1:9" x14ac:dyDescent="0.25">
      <c r="A12" s="1"/>
      <c r="B12" s="98" t="s">
        <v>55</v>
      </c>
      <c r="C12" s="99"/>
      <c r="D12" s="99"/>
      <c r="E12" s="99"/>
      <c r="F12" s="100"/>
      <c r="G12" s="22">
        <f>G10*'Fane 13. Nøgletal'!C21+G11*'Fane 13. Nøgletal'!C22</f>
        <v>42050.965588274506</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4" t="s">
        <v>56</v>
      </c>
      <c r="C15" s="105"/>
      <c r="D15" s="105"/>
      <c r="E15" s="105"/>
      <c r="F15" s="105"/>
      <c r="G15" s="105"/>
      <c r="H15" s="106"/>
      <c r="I15" s="1"/>
    </row>
    <row r="16" spans="1:9" x14ac:dyDescent="0.25">
      <c r="A16" s="1"/>
      <c r="B16" s="98" t="s">
        <v>57</v>
      </c>
      <c r="C16" s="99"/>
      <c r="D16" s="99"/>
      <c r="E16" s="99"/>
      <c r="F16" s="100"/>
      <c r="G16" s="22">
        <f>(G10+G11-G12)*(1+'Fane 13. Nøgletal'!C11)</f>
        <v>4656318.2529522218</v>
      </c>
      <c r="H16" s="14" t="s">
        <v>3</v>
      </c>
      <c r="I16" s="1"/>
    </row>
    <row r="17" spans="1:9" x14ac:dyDescent="0.25">
      <c r="A17" s="1"/>
      <c r="B17" s="98" t="s">
        <v>101</v>
      </c>
      <c r="C17" s="99"/>
      <c r="D17" s="99"/>
      <c r="E17" s="99"/>
      <c r="F17" s="100"/>
      <c r="G17" s="47">
        <v>30741.519619449693</v>
      </c>
      <c r="H17" s="14" t="s">
        <v>3</v>
      </c>
      <c r="I17" s="1"/>
    </row>
    <row r="18" spans="1:9" x14ac:dyDescent="0.25">
      <c r="A18" s="1"/>
      <c r="B18" s="101" t="s">
        <v>58</v>
      </c>
      <c r="C18" s="102"/>
      <c r="D18" s="102"/>
      <c r="E18" s="102"/>
      <c r="F18" s="103"/>
      <c r="G18" s="47">
        <v>0</v>
      </c>
      <c r="H18" s="14" t="s">
        <v>3</v>
      </c>
      <c r="I18" s="1"/>
    </row>
    <row r="19" spans="1:9" x14ac:dyDescent="0.25">
      <c r="A19" s="1"/>
      <c r="B19" s="98" t="s">
        <v>59</v>
      </c>
      <c r="C19" s="99"/>
      <c r="D19" s="99"/>
      <c r="E19" s="99"/>
      <c r="F19" s="100"/>
      <c r="G19" s="22">
        <f>(G16+G17+G18)*'Fane 13. Nøgletal'!C23</f>
        <v>40777.420021373538</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4" t="s">
        <v>60</v>
      </c>
      <c r="C22" s="105"/>
      <c r="D22" s="105"/>
      <c r="E22" s="105"/>
      <c r="F22" s="105"/>
      <c r="G22" s="105"/>
      <c r="H22" s="106"/>
      <c r="I22" s="1"/>
    </row>
    <row r="23" spans="1:9" x14ac:dyDescent="0.25">
      <c r="A23" s="1"/>
      <c r="B23" s="98" t="s">
        <v>61</v>
      </c>
      <c r="C23" s="99"/>
      <c r="D23" s="99"/>
      <c r="E23" s="99"/>
      <c r="F23" s="100"/>
      <c r="G23" s="22">
        <f>(SUM(G16:G18)-G19)*(1+'Fane 13. Nøgletal'!C11)</f>
        <v>4724804.5243083974</v>
      </c>
      <c r="H23" s="14" t="s">
        <v>3</v>
      </c>
      <c r="I23" s="1"/>
    </row>
    <row r="24" spans="1:9" x14ac:dyDescent="0.25">
      <c r="A24" s="1"/>
      <c r="B24" s="101" t="s">
        <v>62</v>
      </c>
      <c r="C24" s="102"/>
      <c r="D24" s="102"/>
      <c r="E24" s="102"/>
      <c r="F24" s="103"/>
      <c r="G24" s="47">
        <v>18034.227111613305</v>
      </c>
      <c r="H24" s="14" t="s">
        <v>3</v>
      </c>
      <c r="I24" s="1"/>
    </row>
    <row r="25" spans="1:9" x14ac:dyDescent="0.25">
      <c r="A25" s="1"/>
      <c r="B25" s="98" t="s">
        <v>63</v>
      </c>
      <c r="C25" s="99"/>
      <c r="D25" s="99"/>
      <c r="E25" s="99"/>
      <c r="F25" s="100"/>
      <c r="G25" s="22">
        <f>G23*'Fane 13. Nøgletal'!C23+G24*'Fane 13. Nøgletal'!C24</f>
        <v>41617.971411452876</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4" t="s">
        <v>119</v>
      </c>
      <c r="C28" s="105"/>
      <c r="D28" s="105"/>
      <c r="E28" s="105"/>
      <c r="F28" s="105"/>
      <c r="G28" s="105"/>
      <c r="H28" s="106"/>
      <c r="I28" s="1"/>
    </row>
    <row r="29" spans="1:9" x14ac:dyDescent="0.25">
      <c r="A29" s="1"/>
      <c r="B29" s="98" t="s">
        <v>64</v>
      </c>
      <c r="C29" s="99"/>
      <c r="D29" s="99"/>
      <c r="E29" s="99"/>
      <c r="F29" s="100"/>
      <c r="G29" s="22">
        <f>(G23+G24-G25)*(1+'Fane 13. Nøgletal'!C13)</f>
        <v>4758575.6735246629</v>
      </c>
      <c r="H29" s="14" t="s">
        <v>3</v>
      </c>
      <c r="I29" s="1"/>
    </row>
    <row r="30" spans="1:9" x14ac:dyDescent="0.25">
      <c r="A30" s="1"/>
      <c r="B30" s="98" t="s">
        <v>113</v>
      </c>
      <c r="C30" s="99"/>
      <c r="D30" s="99"/>
      <c r="E30" s="99"/>
      <c r="F30" s="100"/>
      <c r="G30" s="47">
        <v>27455.85981432</v>
      </c>
      <c r="H30" s="14" t="s">
        <v>3</v>
      </c>
      <c r="I30" s="1"/>
    </row>
    <row r="31" spans="1:9" x14ac:dyDescent="0.25">
      <c r="A31" s="1"/>
      <c r="B31" s="98" t="s">
        <v>120</v>
      </c>
      <c r="C31" s="99"/>
      <c r="D31" s="99"/>
      <c r="E31" s="99"/>
      <c r="F31" s="100"/>
      <c r="G31" s="22">
        <f>(G29+G30)*'Fane 13. Nøgletal'!C25</f>
        <v>131615.86716682202</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4" t="s">
        <v>124</v>
      </c>
      <c r="C34" s="105"/>
      <c r="D34" s="105"/>
      <c r="E34" s="105"/>
      <c r="F34" s="105"/>
      <c r="G34" s="105"/>
      <c r="H34" s="106"/>
      <c r="I34" s="1"/>
    </row>
    <row r="35" spans="1:9" x14ac:dyDescent="0.25">
      <c r="A35" s="1"/>
      <c r="B35" s="98" t="s">
        <v>67</v>
      </c>
      <c r="C35" s="99"/>
      <c r="D35" s="99"/>
      <c r="E35" s="99"/>
      <c r="F35" s="100"/>
      <c r="G35" s="22">
        <f>(G29+G30-G31)*(1+'Fane 13. Nøgletal'!C13)</f>
        <v>4711199.5372994607</v>
      </c>
      <c r="H35" s="14" t="s">
        <v>3</v>
      </c>
      <c r="I35" s="1"/>
    </row>
    <row r="36" spans="1:9" x14ac:dyDescent="0.25">
      <c r="A36" s="1"/>
      <c r="B36" s="98" t="s">
        <v>129</v>
      </c>
      <c r="C36" s="99"/>
      <c r="D36" s="99"/>
      <c r="E36" s="99"/>
      <c r="F36" s="100"/>
      <c r="G36" s="47">
        <v>1354528.8317433703</v>
      </c>
      <c r="H36" s="14" t="s">
        <v>3</v>
      </c>
      <c r="I36" s="1"/>
    </row>
    <row r="37" spans="1:9" x14ac:dyDescent="0.25">
      <c r="A37" s="1"/>
      <c r="B37" s="98" t="s">
        <v>125</v>
      </c>
      <c r="C37" s="99"/>
      <c r="D37" s="99"/>
      <c r="E37" s="99"/>
      <c r="F37" s="100"/>
      <c r="G37" s="22">
        <f>G35*'Fane 13. Nøgletal'!C25+G36*'Fane 13. Nøgletal'!C26</f>
        <v>149605.01398553705</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4" t="s">
        <v>159</v>
      </c>
      <c r="C40" s="105"/>
      <c r="D40" s="105"/>
      <c r="E40" s="105"/>
      <c r="F40" s="105"/>
      <c r="G40" s="105"/>
      <c r="H40" s="106"/>
      <c r="I40" s="1"/>
    </row>
    <row r="41" spans="1:9" x14ac:dyDescent="0.25">
      <c r="A41" s="1"/>
      <c r="B41" s="98" t="s">
        <v>66</v>
      </c>
      <c r="C41" s="99"/>
      <c r="D41" s="99"/>
      <c r="E41" s="99"/>
      <c r="F41" s="100"/>
      <c r="G41" s="22">
        <f>(G35+G36-G37)*(1+'Fane 13. Nøgletal'!C15)</f>
        <v>6126737.3464973336</v>
      </c>
      <c r="H41" s="14" t="s">
        <v>3</v>
      </c>
      <c r="I41" s="1"/>
    </row>
    <row r="42" spans="1:9" x14ac:dyDescent="0.25">
      <c r="A42" s="1"/>
      <c r="B42" s="98" t="s">
        <v>169</v>
      </c>
      <c r="C42" s="99"/>
      <c r="D42" s="99"/>
      <c r="E42" s="99"/>
      <c r="F42" s="100"/>
      <c r="G42" s="9">
        <v>88403.484484800007</v>
      </c>
      <c r="H42" s="14" t="s">
        <v>3</v>
      </c>
      <c r="I42" s="1"/>
    </row>
    <row r="43" spans="1:9" x14ac:dyDescent="0.25">
      <c r="A43" s="1"/>
      <c r="B43" s="98" t="s">
        <v>65</v>
      </c>
      <c r="C43" s="99"/>
      <c r="D43" s="99"/>
      <c r="E43" s="99"/>
      <c r="F43" s="100"/>
      <c r="G43" s="47">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4" t="s">
        <v>160</v>
      </c>
      <c r="C46" s="105"/>
      <c r="D46" s="105"/>
      <c r="E46" s="105"/>
      <c r="F46" s="105"/>
      <c r="G46" s="105"/>
      <c r="H46" s="106"/>
      <c r="I46" s="1"/>
    </row>
    <row r="47" spans="1:9" x14ac:dyDescent="0.25">
      <c r="A47" s="1"/>
      <c r="B47" s="98" t="s">
        <v>114</v>
      </c>
      <c r="C47" s="99"/>
      <c r="D47" s="99"/>
      <c r="E47" s="99"/>
      <c r="F47" s="100"/>
      <c r="G47" s="22">
        <f>(G41+G42-G43)*(1+'Fane 13. Nøgletal'!C15)</f>
        <v>6436399.8445650982</v>
      </c>
      <c r="H47" s="14" t="s">
        <v>3</v>
      </c>
      <c r="I47" s="1"/>
    </row>
    <row r="48" spans="1:9" x14ac:dyDescent="0.25">
      <c r="A48" s="1"/>
      <c r="B48" s="98" t="s">
        <v>210</v>
      </c>
      <c r="C48" s="99"/>
      <c r="D48" s="99"/>
      <c r="E48" s="99"/>
      <c r="F48" s="100"/>
      <c r="G48" s="22">
        <f>('Fane 2.1. Økonomisk ramme 2024'!C10+'Fane 2.1. Økonomisk ramme 2024'!C12+'Fane 2.1. Økonomisk ramme 2024'!C14)*(1+'Fane 13. Nøgletal'!C16)</f>
        <v>13485.6479850624</v>
      </c>
      <c r="H48" s="14" t="s">
        <v>3</v>
      </c>
      <c r="I48" s="1"/>
    </row>
    <row r="49" spans="1:9" x14ac:dyDescent="0.25">
      <c r="A49" s="1"/>
      <c r="B49" s="98" t="s">
        <v>211</v>
      </c>
      <c r="C49" s="99"/>
      <c r="D49" s="99"/>
      <c r="E49" s="99"/>
      <c r="F49" s="100"/>
      <c r="G49" s="47">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4" t="s">
        <v>130</v>
      </c>
      <c r="C52" s="105"/>
      <c r="D52" s="105"/>
      <c r="E52" s="105"/>
      <c r="F52" s="105"/>
      <c r="G52" s="105"/>
      <c r="H52" s="106"/>
      <c r="I52" s="1"/>
    </row>
    <row r="53" spans="1:9" x14ac:dyDescent="0.25">
      <c r="A53" s="1"/>
      <c r="B53" s="98" t="s">
        <v>131</v>
      </c>
      <c r="C53" s="99"/>
      <c r="D53" s="99"/>
      <c r="E53" s="99"/>
      <c r="F53" s="100"/>
      <c r="G53" s="22">
        <f>(G47+G48-G49)*(1+'Fane 13. Nøgletal'!C16)</f>
        <v>6971036.2403482134</v>
      </c>
      <c r="H53" s="14" t="s">
        <v>3</v>
      </c>
      <c r="I53" s="1"/>
    </row>
    <row r="54" spans="1:9" x14ac:dyDescent="0.25">
      <c r="A54" s="1"/>
      <c r="B54" s="98" t="s">
        <v>132</v>
      </c>
      <c r="C54" s="99"/>
      <c r="D54" s="99"/>
      <c r="E54" s="99"/>
      <c r="F54" s="100"/>
      <c r="G54" s="47">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4" t="s">
        <v>147</v>
      </c>
      <c r="C57" s="105"/>
      <c r="D57" s="105"/>
      <c r="E57" s="105"/>
      <c r="F57" s="105"/>
      <c r="G57" s="105"/>
      <c r="H57" s="106"/>
      <c r="I57" s="1"/>
    </row>
    <row r="58" spans="1:9" x14ac:dyDescent="0.25">
      <c r="A58" s="1"/>
      <c r="B58" s="98" t="s">
        <v>148</v>
      </c>
      <c r="C58" s="99"/>
      <c r="D58" s="99"/>
      <c r="E58" s="99"/>
      <c r="F58" s="100"/>
      <c r="G58" s="22">
        <f>(G53-G54)*(1+'Fane 13. Nøgletal'!C16)</f>
        <v>7534295.9685683493</v>
      </c>
      <c r="H58" s="14" t="s">
        <v>3</v>
      </c>
      <c r="I58" s="1"/>
    </row>
    <row r="59" spans="1:9" x14ac:dyDescent="0.25">
      <c r="A59" s="1"/>
      <c r="B59" s="98" t="s">
        <v>149</v>
      </c>
      <c r="C59" s="99"/>
      <c r="D59" s="99"/>
      <c r="E59" s="99"/>
      <c r="F59" s="100"/>
      <c r="G59" s="47">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4" t="s">
        <v>223</v>
      </c>
      <c r="C62" s="105"/>
      <c r="D62" s="105"/>
      <c r="E62" s="105"/>
      <c r="F62" s="105"/>
      <c r="G62" s="105"/>
      <c r="H62" s="106"/>
      <c r="I62" s="1"/>
    </row>
    <row r="63" spans="1:9" x14ac:dyDescent="0.25">
      <c r="A63" s="1"/>
      <c r="B63" s="98" t="s">
        <v>224</v>
      </c>
      <c r="C63" s="99"/>
      <c r="D63" s="99"/>
      <c r="E63" s="99"/>
      <c r="F63" s="100"/>
      <c r="G63" s="22">
        <f>(G58-G59)*(1+'Fane 13. Nøgletal'!C16)</f>
        <v>8143067.0828286717</v>
      </c>
      <c r="H63" s="14" t="s">
        <v>3</v>
      </c>
      <c r="I63" s="1"/>
    </row>
    <row r="64" spans="1:9" x14ac:dyDescent="0.25">
      <c r="A64" s="1"/>
      <c r="B64" s="98" t="s">
        <v>225</v>
      </c>
      <c r="C64" s="99"/>
      <c r="D64" s="99"/>
      <c r="E64" s="99"/>
      <c r="F64" s="100"/>
      <c r="G64" s="47">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3N/zJi2RyW1tGGfnlrf2wOS/d7wfRGRQLF6egwtHCOpT/vF5xM6DbYojZXHkEMHtdrZSag/KhIE+s19mE2r8YQ==" saltValue="PGlI6GTptiXn5WQGvy5sGw=="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4" t="s">
        <v>77</v>
      </c>
      <c r="C3" s="94"/>
      <c r="D3" s="94"/>
      <c r="E3" s="94"/>
      <c r="F3" s="94"/>
      <c r="G3" s="94"/>
      <c r="H3" s="1"/>
    </row>
    <row r="4" spans="1:8" ht="15" customHeight="1" x14ac:dyDescent="0.25">
      <c r="A4" s="1"/>
      <c r="B4" s="94"/>
      <c r="C4" s="94"/>
      <c r="D4" s="94"/>
      <c r="E4" s="94"/>
      <c r="F4" s="94"/>
      <c r="G4" s="9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4" t="s">
        <v>9</v>
      </c>
      <c r="C8" s="105"/>
      <c r="D8" s="105"/>
      <c r="E8" s="105"/>
      <c r="F8" s="105"/>
      <c r="G8" s="106"/>
      <c r="H8" s="1"/>
    </row>
    <row r="9" spans="1:8" x14ac:dyDescent="0.25">
      <c r="A9" s="1"/>
      <c r="B9" s="65" t="s">
        <v>150</v>
      </c>
      <c r="C9" s="66"/>
      <c r="D9" s="66"/>
      <c r="E9" s="66"/>
      <c r="F9" s="67"/>
      <c r="G9" s="51">
        <v>7.4549146286381268E-3</v>
      </c>
      <c r="H9" s="1"/>
    </row>
    <row r="10" spans="1:8" x14ac:dyDescent="0.25">
      <c r="A10" s="1"/>
      <c r="B10" s="52"/>
      <c r="C10" s="53"/>
      <c r="D10" s="53"/>
      <c r="E10" s="53"/>
      <c r="F10" s="53"/>
      <c r="G10" s="19"/>
      <c r="H10" s="1"/>
    </row>
    <row r="11" spans="1:8" ht="15" customHeight="1" x14ac:dyDescent="0.25">
      <c r="A11" s="1"/>
      <c r="B11" s="110" t="s">
        <v>236</v>
      </c>
      <c r="C11" s="111"/>
      <c r="D11" s="111"/>
      <c r="E11" s="111"/>
      <c r="F11" s="111"/>
      <c r="G11" s="112"/>
      <c r="H11" s="1"/>
    </row>
    <row r="12" spans="1:8" ht="13.5" customHeight="1" x14ac:dyDescent="0.25">
      <c r="A12" s="1"/>
      <c r="B12" s="113"/>
      <c r="C12" s="114"/>
      <c r="D12" s="114"/>
      <c r="E12" s="114"/>
      <c r="F12" s="114"/>
      <c r="G12" s="11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LOy6lybE6+eOG6GwghOHQqBijWUhAKl3c6Gel4qPZx8h7ShDp5g3jG+bMosZhbfFn52jYCo9kuG+vzTauc4u8w==" saltValue="6/W/e/EzLdOxeLtQQQVNoA=="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2023-11-14T17:09:03Z</dcterms:modified>
</cp:coreProperties>
</file>