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Hillerød Vand AS (V081)\ØR2024\"/>
    </mc:Choice>
  </mc:AlternateContent>
  <xr:revisionPtr revIDLastSave="0" documentId="13_ncr:1_{65377B92-8643-4DFE-9DFD-3E0BC6161626}"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2024'!$B$7:$D$35</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F15" i="11" l="1"/>
  <c r="F16" i="11"/>
  <c r="F17" i="11"/>
  <c r="C29" i="2" l="1"/>
  <c r="E23" i="42"/>
  <c r="E31" i="42" s="1"/>
  <c r="E33" i="42" s="1"/>
  <c r="C17" i="22" s="1"/>
  <c r="C17" i="15" l="1"/>
  <c r="E27" i="42"/>
  <c r="C8" i="2"/>
  <c r="C13" i="29" l="1"/>
  <c r="C14" i="29" s="1"/>
  <c r="E14" i="39" l="1"/>
  <c r="C14" i="39"/>
  <c r="C31" i="2" l="1"/>
  <c r="E15" i="39" l="1"/>
  <c r="C15" i="39"/>
  <c r="J18" i="11"/>
  <c r="H18" i="11"/>
  <c r="F11" i="11" l="1"/>
  <c r="F12" i="11"/>
  <c r="F13" i="11"/>
  <c r="F14" i="11"/>
  <c r="F10" i="11"/>
  <c r="F18"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4" i="2" s="1"/>
  <c r="G58" i="36" l="1"/>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<sst xmlns="http://schemas.openxmlformats.org/spreadsheetml/2006/main" count="593" uniqueCount="277">
  <si>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</si>
  <si>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</si>
  <si>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</si>
  <si>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</si>
  <si>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</si>
  <si>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</si>
  <si>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</si>
  <si>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</si>
  <si>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</si>
  <si>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</si>
  <si>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</si>
  <si>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</si>
  <si>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</si>
  <si>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</si>
  <si>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</si>
  <si>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</si>
  <si>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</si>
  <si>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</si>
  <si>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</si>
  <si>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</si>
  <si>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</si>
  <si>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</si>
  <si>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</si>
  <si>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</si>
  <si>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</si>
  <si>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</si>
  <si>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</si>
  <si>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</si>
  <si>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</si>
  <si>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</si>
  <si>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</si>
  <si>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</si>
  <si>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</si>
  <si>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</si>
  <si>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</si>
  <si>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</si>
  <si>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</si>
  <si>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</si>
  <si>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</si>
  <si>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</si>
  <si>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</si>
  <si>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</si>
  <si>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</si>
  <si>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</si>
  <si>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</si>
  <si>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</si>
  <si>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</si>
  <si>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</si>
  <si>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</si>
  <si>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</si>
  <si>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</si>
  <si>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</si>
  <si>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</si>
  <si>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</si>
  <si>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</si>
  <si>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</si>
  <si>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</si>
  <si>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</si>
  <si>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</si>
  <si>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</si>
  <si>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</si>
  <si>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</si>
  <si>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</si>
  <si>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</si>
  <si>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</si>
  <si>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</si>
  <si>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</si>
  <si>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</si>
  <si>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</si>
  <si>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</si>
  <si>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</si>
  <si>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</si>
  <si>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</si>
  <si>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</si>
  <si>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</si>
  <si>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</si>
  <si>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</si>
  <si>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</si>
  <si>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</si>
  <si>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</si>
  <si>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</si>
  <si>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</si>
  <si>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</si>
  <si>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</si>
  <si>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</si>
  <si>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</si>
  <si>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</si>
  <si>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</si>
  <si>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</si>
  <si>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</si>
  <si>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</si>
  <si>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</si>
  <si>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</si>
  <si>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</si>
  <si>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</si>
  <si>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</si>
  <si>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</si>
  <si>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</si>
  <si>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</si>
  <si>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</si>
  <si>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</si>
  <si>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</si>
  <si>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</si>
  <si>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</si>
  <si>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</si>
  <si>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</si>
  <si>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</si>
  <si>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</si>
  <si>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</si>
  <si>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</si>
  <si>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</si>
  <si>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</si>
  <si>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</si>
  <si>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</si>
  <si>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</si>
  <si>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</si>
  <si>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</si>
  <si>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</si>
  <si>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</si>
  <si>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</si>
  <si>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</si>
  <si>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</si>
  <si>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</si>
  <si>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</si>
  <si>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</si>
  <si>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</si>
  <si>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</si>
  <si>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</si>
  <si>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</si>
  <si>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</si>
  <si>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</si>
  <si>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</si>
  <si>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</si>
  <si>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</si>
  <si>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</si>
  <si>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</si>
  <si>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</si>
  <si>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</si>
  <si>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</si>
  <si>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</si>
  <si>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</si>
  <si>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</si>
  <si>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</si>
  <si>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</si>
  <si>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</si>
  <si>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</si>
  <si>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</si>
  <si>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</si>
  <si>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</si>
  <si>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</si>
  <si>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</si>
  <si>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</si>
  <si>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</si>
  <si>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</si>
  <si>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</si>
  <si>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</si>
  <si>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</si>
  <si>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</si>
  <si>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</si>
  <si>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</si>
  <si>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</si>
  <si>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</si>
  <si>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</si>
  <si>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</si>
  <si>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</si>
  <si>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</si>
  <si>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</si>
  <si>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</si>
  <si>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</si>
  <si>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</si>
  <si>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</si>
  <si>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</si>
  <si>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</si>
  <si>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</si>
  <si>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</si>
  <si>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</si>
  <si>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</si>
  <si>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</si>
  <si>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</si>
  <si>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</si>
  <si>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</si>
  <si>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</si>
  <si>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</si>
  <si>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</si>
  <si>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</si>
  <si>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</si>
  <si>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</si>
  <si>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</si>
  <si>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</si>
  <si>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</si>
  <si>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</si>
  <si>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</si>
  <si>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</si>
  <si>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</si>
  <si>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</si>
  <si>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</si>
  <si>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</si>
  <si>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</si>
  <si>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</si>
  <si>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</si>
  <si>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</si>
  <si>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</si>
  <si>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</si>
  <si>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</si>
  <si>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</si>
  <si>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</si>
  <si>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</si>
  <si>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</si>
  <si>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</si>
  <si>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</si>
  <si>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</si>
  <si>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</si>
  <si>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</si>
  <si>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</si>
  <si>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</si>
  <si>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</si>
  <si>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</si>
  <si>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</si>
  <si>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</si>
  <si>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</si>
  <si>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</si>
  <si>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</si>
  <si>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</si>
  <si>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</si>
  <si>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</si>
  <si>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</si>
  <si>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</si>
  <si>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</si>
  <si>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</si>
  <si>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</si>
  <si>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</si>
  <si>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</si>
  <si>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</si>
  <si>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</si>
  <si>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</si>
  <si>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</si>
  <si>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</si>
  <si>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</si>
  <si>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</si>
  <si>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</si>
  <si>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</si>
  <si>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</si>
  <si>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</si>
  <si>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</si>
  <si>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Køb af ydelser og produkter fra andre vandselskaber reguleret af vandsektorloven</t>
  </si>
  <si>
    <t>Ejendomsskat</t>
  </si>
  <si>
    <t>Tjenestemandspensioner</t>
  </si>
  <si>
    <t>Erstatninger</t>
  </si>
  <si>
    <t>Vandsamarbejde etableret i medfør af § 52b i vandforsyningsloven</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</si>
  <si>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</si>
  <si>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</si>
  <si>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</si>
  <si>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</si>
  <si>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</si>
  <si>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</si>
  <si>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</si>
  <si>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</si>
  <si>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</si>
  <si>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</si>
  <si>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</si>
  <si>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</si>
  <si>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</si>
  <si>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Gadevang nødforbindelse (4502820)</t>
  </si>
  <si>
    <t>Meløse nødforbindelse (4502830)</t>
  </si>
  <si>
    <t>Ombygning af okkerbassin (4500105)</t>
  </si>
  <si>
    <t>Tilslutninger 2022</t>
  </si>
  <si>
    <t>Ingen engangstillæg</t>
  </si>
  <si>
    <t>Afregningsmålere, elektroniske, maksimal gennemstrømning ≤ 4 m3/t</t>
  </si>
  <si>
    <t>Ledningsnet ≤ Ø50 mm</t>
  </si>
  <si>
    <t>SRO-brønd/kvarterbrønd/sektionsbrønd, Konstruktioner</t>
  </si>
  <si>
    <t>Stik på ledningsnet, Konstruktioner</t>
  </si>
  <si>
    <t>Stik på ledningsnet, Mek./EL</t>
  </si>
  <si>
    <t>Ventiler på Ø 250 mm &lt; Ledningsnet ≤ Ø 500mm</t>
  </si>
  <si>
    <t>Ø 250 mm &lt; Ledningsnet ≤ Ø 500mm</t>
  </si>
  <si>
    <t>Ø 50mm &lt; Ledningsnet ≤ Ø110 mm</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</si>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</sst>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 fontId="8" fillId="0" borderId="1" xfId="0" applyNumberFormat="1" applyFont="1" applyFill="1" applyBorder="1" applyAlignment="1" applyProtection="1">
      <alignment wrapText="1"/>
    </xf>
    <xf numFmtId="1" fontId="8" fillId="8" borderId="1" xfId="1"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row r="1">
          <cell r="A1" t="str">
            <v>ØR 2024-2027 samt statusmeddelelser</v>
          </cell>
        </row>
      </sheetData>
      <sheetData sheetId="2">
        <row r="1">
          <cell r="AY1" t="str">
            <v>Videreførte omkostninger i den økonomiske ramme fra 2022 eksl. IPO og periodevise</v>
          </cell>
        </row>
      </sheetData>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2" t="s">
        <v>4</v>
      </c>
      <c r="E6" s="82"/>
      <c r="F6" s="82"/>
      <c r="G6" s="82"/>
      <c r="H6" s="3"/>
      <c r="I6" s="1"/>
    </row>
    <row r="7" spans="1:9" ht="15" customHeight="1" x14ac:dyDescent="0.25">
      <c r="A7" s="1"/>
      <c r="B7" s="1"/>
      <c r="C7" s="3"/>
      <c r="D7" s="82"/>
      <c r="E7" s="82"/>
      <c r="F7" s="82"/>
      <c r="G7" s="82"/>
      <c r="H7" s="3"/>
      <c r="I7" s="1"/>
    </row>
    <row r="8" spans="1:9" ht="15.75" x14ac:dyDescent="0.25">
      <c r="A8" s="1"/>
      <c r="B8" s="1"/>
      <c r="C8" s="4"/>
      <c r="D8" s="87" t="s">
        <v>235</v>
      </c>
      <c r="E8" s="87"/>
      <c r="F8" s="87"/>
      <c r="G8" s="87"/>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6" t="s">
        <v>5</v>
      </c>
      <c r="E11" s="86"/>
      <c r="F11" s="86"/>
      <c r="G11" s="86"/>
      <c r="H11" s="5"/>
      <c r="I11" s="1"/>
    </row>
    <row r="12" spans="1:9" x14ac:dyDescent="0.25">
      <c r="A12" s="1"/>
      <c r="B12" s="1"/>
      <c r="C12" s="1"/>
      <c r="D12" s="1"/>
      <c r="E12" s="1"/>
      <c r="F12" s="1"/>
      <c r="G12" s="1"/>
      <c r="H12" s="1"/>
      <c r="I12" s="1"/>
    </row>
    <row r="13" spans="1:9" x14ac:dyDescent="0.25">
      <c r="A13" s="1"/>
      <c r="B13" s="1"/>
      <c r="C13" s="6" t="s">
        <v>6</v>
      </c>
      <c r="D13" s="79" t="s">
        <v>162</v>
      </c>
      <c r="E13" s="80"/>
      <c r="F13" s="80"/>
      <c r="G13" s="81"/>
      <c r="H13" s="1"/>
      <c r="I13" s="1"/>
    </row>
    <row r="14" spans="1:9" x14ac:dyDescent="0.25">
      <c r="A14" s="1"/>
      <c r="B14" s="1"/>
      <c r="C14" s="6" t="s">
        <v>14</v>
      </c>
      <c r="D14" s="79" t="s">
        <v>197</v>
      </c>
      <c r="E14" s="80"/>
      <c r="F14" s="80"/>
      <c r="G14" s="81"/>
      <c r="H14" s="1"/>
      <c r="I14" s="1"/>
    </row>
    <row r="15" spans="1:9" x14ac:dyDescent="0.25">
      <c r="A15" s="1"/>
      <c r="B15" s="1"/>
      <c r="C15" s="6" t="s">
        <v>30</v>
      </c>
      <c r="D15" s="79" t="s">
        <v>141</v>
      </c>
      <c r="E15" s="80"/>
      <c r="F15" s="80"/>
      <c r="G15" s="81"/>
      <c r="H15" s="1"/>
      <c r="I15" s="1"/>
    </row>
    <row r="16" spans="1:9" x14ac:dyDescent="0.25">
      <c r="A16" s="1"/>
      <c r="B16" s="1"/>
      <c r="C16" s="6" t="s">
        <v>31</v>
      </c>
      <c r="D16" s="79" t="s">
        <v>194</v>
      </c>
      <c r="E16" s="80"/>
      <c r="F16" s="80"/>
      <c r="G16" s="81"/>
      <c r="H16" s="1"/>
      <c r="I16" s="1"/>
    </row>
    <row r="17" spans="1:9" x14ac:dyDescent="0.25">
      <c r="A17" s="1"/>
      <c r="B17" s="1"/>
      <c r="C17" s="6" t="s">
        <v>102</v>
      </c>
      <c r="D17" s="79" t="s">
        <v>195</v>
      </c>
      <c r="E17" s="80"/>
      <c r="F17" s="80"/>
      <c r="G17" s="81"/>
      <c r="H17" s="1"/>
      <c r="I17" s="1"/>
    </row>
    <row r="18" spans="1:9" x14ac:dyDescent="0.25">
      <c r="A18" s="1"/>
      <c r="B18" s="1"/>
      <c r="C18" s="6" t="s">
        <v>86</v>
      </c>
      <c r="D18" s="88" t="s">
        <v>79</v>
      </c>
      <c r="E18" s="89"/>
      <c r="F18" s="89"/>
      <c r="G18" s="90"/>
      <c r="H18" s="1"/>
      <c r="I18" s="1"/>
    </row>
    <row r="19" spans="1:9" x14ac:dyDescent="0.25">
      <c r="A19" s="1"/>
      <c r="B19" s="1"/>
      <c r="C19" s="6" t="s">
        <v>87</v>
      </c>
      <c r="D19" s="88" t="s">
        <v>80</v>
      </c>
      <c r="E19" s="89"/>
      <c r="F19" s="89"/>
      <c r="G19" s="90"/>
      <c r="H19" s="1"/>
      <c r="I19" s="1"/>
    </row>
    <row r="20" spans="1:9" x14ac:dyDescent="0.25">
      <c r="A20" s="1"/>
      <c r="B20" s="1"/>
      <c r="C20" s="6" t="s">
        <v>7</v>
      </c>
      <c r="D20" s="88" t="s">
        <v>9</v>
      </c>
      <c r="E20" s="89"/>
      <c r="F20" s="89"/>
      <c r="G20" s="90"/>
      <c r="H20" s="1"/>
      <c r="I20" s="1"/>
    </row>
    <row r="21" spans="1:9" x14ac:dyDescent="0.25">
      <c r="A21" s="1"/>
      <c r="B21" s="1"/>
      <c r="C21" s="6" t="s">
        <v>88</v>
      </c>
      <c r="D21" s="94" t="s">
        <v>11</v>
      </c>
      <c r="E21" s="95"/>
      <c r="F21" s="95"/>
      <c r="G21" s="96"/>
      <c r="H21" s="1"/>
      <c r="I21" s="1"/>
    </row>
    <row r="22" spans="1:9" x14ac:dyDescent="0.25">
      <c r="A22" s="1"/>
      <c r="B22" s="1"/>
      <c r="C22" s="6" t="s">
        <v>73</v>
      </c>
      <c r="D22" s="83" t="s">
        <v>196</v>
      </c>
      <c r="E22" s="84"/>
      <c r="F22" s="84"/>
      <c r="G22" s="85"/>
      <c r="H22" s="1"/>
      <c r="I22" s="1"/>
    </row>
    <row r="23" spans="1:9" x14ac:dyDescent="0.25">
      <c r="A23" s="1"/>
      <c r="B23" s="1"/>
      <c r="C23" s="6" t="s">
        <v>8</v>
      </c>
      <c r="D23" s="83" t="s">
        <v>176</v>
      </c>
      <c r="E23" s="84"/>
      <c r="F23" s="84"/>
      <c r="G23" s="85"/>
      <c r="H23" s="1"/>
      <c r="I23" s="1"/>
    </row>
    <row r="24" spans="1:9" x14ac:dyDescent="0.25">
      <c r="A24" s="1"/>
      <c r="B24" s="1"/>
      <c r="C24" s="6" t="s">
        <v>172</v>
      </c>
      <c r="D24" s="83" t="s">
        <v>163</v>
      </c>
      <c r="E24" s="84"/>
      <c r="F24" s="84"/>
      <c r="G24" s="85"/>
      <c r="H24" s="1"/>
      <c r="I24" s="1"/>
    </row>
    <row r="25" spans="1:9" x14ac:dyDescent="0.25">
      <c r="A25" s="1"/>
      <c r="B25" s="1"/>
      <c r="C25" s="6" t="s">
        <v>173</v>
      </c>
      <c r="D25" s="83" t="s">
        <v>74</v>
      </c>
      <c r="E25" s="84"/>
      <c r="F25" s="84"/>
      <c r="G25" s="85"/>
      <c r="H25" s="1"/>
      <c r="I25" s="1"/>
    </row>
    <row r="26" spans="1:9" x14ac:dyDescent="0.25">
      <c r="A26" s="1"/>
      <c r="B26" s="1"/>
      <c r="C26" s="6" t="s">
        <v>174</v>
      </c>
      <c r="D26" s="83" t="s">
        <v>75</v>
      </c>
      <c r="E26" s="84"/>
      <c r="F26" s="84"/>
      <c r="G26" s="85"/>
      <c r="H26" s="1"/>
      <c r="I26" s="1"/>
    </row>
    <row r="27" spans="1:9" x14ac:dyDescent="0.25">
      <c r="A27" s="1"/>
      <c r="B27" s="1"/>
      <c r="C27" s="6" t="s">
        <v>89</v>
      </c>
      <c r="D27" s="83" t="s">
        <v>103</v>
      </c>
      <c r="E27" s="84"/>
      <c r="F27" s="84"/>
      <c r="G27" s="85"/>
      <c r="H27" s="1"/>
      <c r="I27" s="1"/>
    </row>
    <row r="28" spans="1:9" x14ac:dyDescent="0.25">
      <c r="A28" s="1"/>
      <c r="B28" s="1"/>
      <c r="C28" s="6" t="s">
        <v>83</v>
      </c>
      <c r="D28" s="83" t="s">
        <v>32</v>
      </c>
      <c r="E28" s="84"/>
      <c r="F28" s="84"/>
      <c r="G28" s="85"/>
      <c r="H28" s="1"/>
      <c r="I28" s="1"/>
    </row>
    <row r="29" spans="1:9" x14ac:dyDescent="0.25">
      <c r="A29" s="1"/>
      <c r="B29" s="1"/>
      <c r="C29" s="6" t="s">
        <v>175</v>
      </c>
      <c r="D29" s="91" t="s">
        <v>84</v>
      </c>
      <c r="E29" s="92"/>
      <c r="F29" s="92"/>
      <c r="G29" s="93"/>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5y/iGkMqc2BMK8tJ885P7L2zoTp+V9ckE3CNoXVoOe7A+sNKzemcWAFNkZyPTw22T4bGVIdZNzVNQ9fmFhnSng==" saltValue="8YdCEq5JQeDqBpEkShmfDw=="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7" t="s">
        <v>92</v>
      </c>
      <c r="C3" s="97"/>
      <c r="D3" s="97"/>
      <c r="E3" s="1"/>
      <c r="F3" s="1"/>
    </row>
    <row r="4" spans="1:6" ht="15" customHeight="1" x14ac:dyDescent="0.25">
      <c r="A4" s="1"/>
      <c r="B4" s="97"/>
      <c r="C4" s="97"/>
      <c r="D4" s="9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7" t="s">
        <v>226</v>
      </c>
      <c r="C8" s="108"/>
      <c r="D8" s="109"/>
      <c r="E8" s="1"/>
      <c r="F8" s="1"/>
    </row>
    <row r="9" spans="1:6" ht="15" customHeight="1" x14ac:dyDescent="0.25">
      <c r="A9" s="1"/>
      <c r="B9" s="32" t="s">
        <v>28</v>
      </c>
      <c r="C9" s="11" t="s">
        <v>212</v>
      </c>
      <c r="D9" s="11"/>
      <c r="E9" s="1"/>
      <c r="F9" s="1"/>
    </row>
    <row r="10" spans="1:6" ht="15" customHeight="1" x14ac:dyDescent="0.25">
      <c r="A10" s="1"/>
      <c r="B10" s="72" t="s">
        <v>242</v>
      </c>
      <c r="C10" s="9">
        <v>11164934</v>
      </c>
      <c r="D10" s="14" t="s">
        <v>3</v>
      </c>
      <c r="E10" s="1"/>
      <c r="F10" s="1"/>
    </row>
    <row r="11" spans="1:6" x14ac:dyDescent="0.25">
      <c r="A11" s="1"/>
      <c r="B11" s="72" t="s">
        <v>243</v>
      </c>
      <c r="C11" s="9">
        <v>92638</v>
      </c>
      <c r="D11" s="14" t="s">
        <v>3</v>
      </c>
      <c r="E11" s="1"/>
      <c r="F11" s="1"/>
    </row>
    <row r="12" spans="1:6" ht="26.25" x14ac:dyDescent="0.25">
      <c r="A12" s="1"/>
      <c r="B12" s="55" t="s">
        <v>244</v>
      </c>
      <c r="C12" s="9">
        <v>452034</v>
      </c>
      <c r="D12" s="14" t="s">
        <v>3</v>
      </c>
      <c r="E12" s="1"/>
      <c r="F12" s="1"/>
    </row>
    <row r="13" spans="1:6" x14ac:dyDescent="0.25">
      <c r="A13" s="1"/>
      <c r="B13" s="72" t="s">
        <v>245</v>
      </c>
      <c r="C13" s="9">
        <v>206732</v>
      </c>
      <c r="D13" s="14" t="s">
        <v>3</v>
      </c>
      <c r="E13" s="1"/>
      <c r="F13" s="1"/>
    </row>
    <row r="14" spans="1:6" x14ac:dyDescent="0.25">
      <c r="A14" s="1"/>
      <c r="B14" s="72" t="s">
        <v>246</v>
      </c>
      <c r="C14" s="9">
        <v>30612</v>
      </c>
      <c r="D14" s="14" t="s">
        <v>3</v>
      </c>
      <c r="E14" s="1"/>
      <c r="F14" s="1"/>
    </row>
    <row r="15" spans="1:6" x14ac:dyDescent="0.25">
      <c r="A15" s="1"/>
      <c r="B15" s="72" t="s">
        <v>247</v>
      </c>
      <c r="C15" s="9">
        <v>111631.36</v>
      </c>
      <c r="D15" s="14" t="s">
        <v>3</v>
      </c>
      <c r="E15" s="1"/>
      <c r="F15" s="1"/>
    </row>
    <row r="16" spans="1:6" ht="26.25" x14ac:dyDescent="0.25">
      <c r="A16" s="1"/>
      <c r="B16" s="55" t="s">
        <v>248</v>
      </c>
      <c r="C16" s="9">
        <v>72002</v>
      </c>
      <c r="D16" s="14" t="s">
        <v>3</v>
      </c>
      <c r="E16" s="1"/>
      <c r="F16" s="1"/>
    </row>
    <row r="17" spans="1:6" x14ac:dyDescent="0.25">
      <c r="A17" s="1"/>
      <c r="B17" s="72"/>
      <c r="C17" s="9"/>
      <c r="D17" s="14" t="s">
        <v>3</v>
      </c>
      <c r="E17" s="1"/>
      <c r="F17" s="1"/>
    </row>
    <row r="18" spans="1:6" x14ac:dyDescent="0.25">
      <c r="A18" s="1"/>
      <c r="B18" s="72"/>
      <c r="C18" s="9"/>
      <c r="D18" s="14" t="s">
        <v>3</v>
      </c>
      <c r="E18" s="1"/>
      <c r="F18" s="1"/>
    </row>
    <row r="19" spans="1:6" x14ac:dyDescent="0.25">
      <c r="A19" s="1"/>
      <c r="B19" s="52" t="s">
        <v>213</v>
      </c>
      <c r="C19" s="12">
        <f>SUM(C10:C18)</f>
        <v>12130583.359999999</v>
      </c>
      <c r="D19" s="13" t="s">
        <v>3</v>
      </c>
      <c r="E19" s="1"/>
      <c r="F19" s="1"/>
    </row>
    <row r="20" spans="1:6" x14ac:dyDescent="0.25">
      <c r="A20" s="1"/>
      <c r="B20" s="52" t="s">
        <v>214</v>
      </c>
      <c r="C20" s="12">
        <f>C19*(1+'Fane 13. Nøgletal'!C16)^2</f>
        <v>14170081.842723429</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sheetData>
  <sheetProtection algorithmName="SHA-512" hashValue="IcbP0dv4yQnIw/yrBLPYMR+SzcuopMtK0EZFtmGYCUggx/f8PJHFYZcGxB4OavpAOnp8Fw0ftbwjGl3sc4Xk+g==" saltValue="ILCYU8tDXe5v5/Fnf8fRO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2AD05-CA99-4B0F-9DB7-F76F51ADC49D}">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0" t="s">
        <v>227</v>
      </c>
      <c r="C3" s="100"/>
      <c r="D3" s="100"/>
      <c r="E3" s="100"/>
      <c r="F3" s="100"/>
      <c r="G3" s="1"/>
    </row>
    <row r="4" spans="1:7" ht="15" customHeight="1" x14ac:dyDescent="0.25">
      <c r="A4" s="1"/>
      <c r="B4" s="100"/>
      <c r="C4" s="100"/>
      <c r="D4" s="100"/>
      <c r="E4" s="100"/>
      <c r="F4" s="100"/>
      <c r="G4" s="1"/>
    </row>
    <row r="5" spans="1:7" ht="15" customHeight="1" x14ac:dyDescent="0.25">
      <c r="A5" s="1"/>
      <c r="B5" s="65"/>
      <c r="C5" s="65"/>
      <c r="D5" s="65"/>
      <c r="E5" s="65"/>
      <c r="F5" s="65"/>
      <c r="G5" s="1"/>
    </row>
    <row r="6" spans="1:7" ht="15" customHeight="1" x14ac:dyDescent="0.25">
      <c r="A6" s="1"/>
      <c r="B6" s="1"/>
      <c r="C6" s="58"/>
      <c r="D6" s="59"/>
      <c r="E6" s="65"/>
      <c r="F6" s="65"/>
      <c r="G6" s="1"/>
    </row>
    <row r="7" spans="1:7" x14ac:dyDescent="0.25">
      <c r="A7" s="1"/>
      <c r="B7" s="1"/>
      <c r="C7" s="1"/>
      <c r="D7" s="1"/>
      <c r="E7" s="60"/>
      <c r="F7" s="1"/>
      <c r="G7" s="1"/>
    </row>
    <row r="8" spans="1:7" x14ac:dyDescent="0.25">
      <c r="A8" s="1"/>
      <c r="B8" s="107" t="s">
        <v>249</v>
      </c>
      <c r="C8" s="108"/>
      <c r="D8" s="108"/>
      <c r="E8" s="108"/>
      <c r="F8" s="109"/>
      <c r="G8" s="1"/>
    </row>
    <row r="9" spans="1:7" x14ac:dyDescent="0.25">
      <c r="A9" s="1"/>
      <c r="B9" s="101" t="s">
        <v>250</v>
      </c>
      <c r="C9" s="102"/>
      <c r="D9" s="103"/>
      <c r="E9" s="28">
        <v>-1573235</v>
      </c>
      <c r="F9" s="14" t="s">
        <v>3</v>
      </c>
      <c r="G9" s="1"/>
    </row>
    <row r="10" spans="1:7" x14ac:dyDescent="0.25">
      <c r="A10" s="1"/>
      <c r="B10" s="52"/>
      <c r="C10" s="53"/>
      <c r="D10" s="53"/>
      <c r="E10" s="53"/>
      <c r="F10" s="19"/>
      <c r="G10" s="1"/>
    </row>
    <row r="11" spans="1:7" ht="53.25" customHeight="1" x14ac:dyDescent="0.25">
      <c r="A11" s="1"/>
      <c r="B11" s="126" t="s">
        <v>251</v>
      </c>
      <c r="C11" s="127"/>
      <c r="D11" s="127"/>
      <c r="E11" s="127"/>
      <c r="F11" s="128"/>
      <c r="G11" s="1"/>
    </row>
    <row r="12" spans="1:7" x14ac:dyDescent="0.25">
      <c r="A12" s="1"/>
      <c r="B12" s="1"/>
      <c r="C12" s="1"/>
      <c r="D12" s="1"/>
      <c r="E12" s="1"/>
      <c r="F12" s="1"/>
      <c r="G12" s="1"/>
    </row>
    <row r="13" spans="1:7" x14ac:dyDescent="0.25">
      <c r="A13" s="1"/>
      <c r="B13" s="107" t="s">
        <v>140</v>
      </c>
      <c r="C13" s="108"/>
      <c r="D13" s="108"/>
      <c r="E13" s="108"/>
      <c r="F13" s="109"/>
      <c r="G13" s="1"/>
    </row>
    <row r="14" spans="1:7" x14ac:dyDescent="0.25">
      <c r="A14" s="1"/>
      <c r="B14" s="101" t="s">
        <v>252</v>
      </c>
      <c r="C14" s="102"/>
      <c r="D14" s="103"/>
      <c r="E14" s="9">
        <v>-786617</v>
      </c>
      <c r="F14" s="14" t="s">
        <v>3</v>
      </c>
      <c r="G14" s="1"/>
    </row>
    <row r="15" spans="1:7" x14ac:dyDescent="0.25">
      <c r="A15" s="1"/>
      <c r="B15" s="101" t="s">
        <v>253</v>
      </c>
      <c r="C15" s="102"/>
      <c r="D15" s="103"/>
      <c r="E15" s="9">
        <v>-786617</v>
      </c>
      <c r="F15" s="14" t="s">
        <v>3</v>
      </c>
      <c r="G15" s="1"/>
    </row>
    <row r="16" spans="1:7" x14ac:dyDescent="0.25">
      <c r="A16" s="1"/>
      <c r="B16" s="52"/>
      <c r="C16" s="53"/>
      <c r="D16" s="53"/>
      <c r="E16" s="53"/>
      <c r="F16" s="19"/>
      <c r="G16" s="1"/>
    </row>
    <row r="17" spans="1:7" ht="32.25" customHeight="1" x14ac:dyDescent="0.25">
      <c r="A17" s="1"/>
      <c r="B17" s="126" t="s">
        <v>254</v>
      </c>
      <c r="C17" s="127"/>
      <c r="D17" s="127"/>
      <c r="E17" s="127"/>
      <c r="F17" s="128"/>
      <c r="G17" s="1"/>
    </row>
    <row r="18" spans="1:7" x14ac:dyDescent="0.25">
      <c r="A18" s="1"/>
      <c r="B18" s="1"/>
      <c r="C18" s="1"/>
      <c r="D18" s="1"/>
      <c r="E18" s="1"/>
      <c r="F18" s="1"/>
      <c r="G18" s="1"/>
    </row>
    <row r="19" spans="1:7" x14ac:dyDescent="0.25">
      <c r="A19" s="1"/>
      <c r="B19" s="66" t="s">
        <v>255</v>
      </c>
      <c r="C19" s="67"/>
      <c r="D19" s="67"/>
      <c r="E19" s="67"/>
      <c r="F19" s="68"/>
      <c r="G19" s="1"/>
    </row>
    <row r="20" spans="1:7" x14ac:dyDescent="0.25">
      <c r="A20" s="1"/>
      <c r="B20" s="69" t="s">
        <v>256</v>
      </c>
      <c r="C20" s="70"/>
      <c r="D20" s="71"/>
      <c r="E20" s="9">
        <v>33615275</v>
      </c>
      <c r="F20" s="14" t="s">
        <v>3</v>
      </c>
      <c r="G20" s="1"/>
    </row>
    <row r="21" spans="1:7" x14ac:dyDescent="0.25">
      <c r="A21" s="1"/>
      <c r="B21" s="69" t="s">
        <v>257</v>
      </c>
      <c r="C21" s="70"/>
      <c r="D21" s="71"/>
      <c r="E21" s="9">
        <v>33724825</v>
      </c>
      <c r="F21" s="14" t="s">
        <v>3</v>
      </c>
      <c r="G21" s="1"/>
    </row>
    <row r="22" spans="1:7" x14ac:dyDescent="0.25">
      <c r="A22" s="1"/>
      <c r="B22" s="69" t="s">
        <v>29</v>
      </c>
      <c r="C22" s="70"/>
      <c r="D22" s="71"/>
      <c r="E22" s="9">
        <v>73500</v>
      </c>
      <c r="F22" s="14" t="s">
        <v>3</v>
      </c>
      <c r="G22" s="1"/>
    </row>
    <row r="23" spans="1:7" x14ac:dyDescent="0.25">
      <c r="A23" s="1"/>
      <c r="B23" s="74" t="s">
        <v>258</v>
      </c>
      <c r="C23" s="75"/>
      <c r="D23" s="76"/>
      <c r="E23" s="10">
        <f>E20-(E21-E22)</f>
        <v>-36050</v>
      </c>
      <c r="F23" s="17" t="s">
        <v>3</v>
      </c>
      <c r="G23" s="1"/>
    </row>
    <row r="24" spans="1:7" x14ac:dyDescent="0.25">
      <c r="A24" s="1"/>
      <c r="B24" s="52"/>
      <c r="C24" s="53"/>
      <c r="D24" s="53"/>
      <c r="E24" s="53"/>
      <c r="F24" s="19"/>
      <c r="G24" s="1"/>
    </row>
    <row r="25" spans="1:7" x14ac:dyDescent="0.25">
      <c r="A25" s="1"/>
      <c r="B25" s="1"/>
      <c r="C25" s="1"/>
      <c r="D25" s="1"/>
      <c r="E25" s="1"/>
      <c r="F25" s="1"/>
      <c r="G25" s="1"/>
    </row>
    <row r="26" spans="1:7" x14ac:dyDescent="0.25">
      <c r="A26" s="1"/>
      <c r="B26" s="107" t="s">
        <v>259</v>
      </c>
      <c r="C26" s="108"/>
      <c r="D26" s="108"/>
      <c r="E26" s="108"/>
      <c r="F26" s="109"/>
      <c r="G26" s="1"/>
    </row>
    <row r="27" spans="1:7" x14ac:dyDescent="0.25">
      <c r="A27" s="1"/>
      <c r="B27" s="129" t="s">
        <v>260</v>
      </c>
      <c r="C27" s="130"/>
      <c r="D27" s="131"/>
      <c r="E27" s="61">
        <f>IF(AND(E15&lt;0,E23&gt;0,ABS(SUM(E14:E15))&lt;E23),ABS(E14),IF(AND(E15&lt;0,E23&gt;0,ABS(SUM(E14:E15))&gt;E23),SUM(E14,E23),0))</f>
        <v>0</v>
      </c>
      <c r="F27" s="17" t="s">
        <v>3</v>
      </c>
      <c r="G27" s="1"/>
    </row>
    <row r="28" spans="1:7" x14ac:dyDescent="0.25">
      <c r="A28" s="1"/>
      <c r="B28" s="107"/>
      <c r="C28" s="108"/>
      <c r="D28" s="108"/>
      <c r="E28" s="108"/>
      <c r="F28" s="109"/>
      <c r="G28" s="1"/>
    </row>
    <row r="29" spans="1:7" x14ac:dyDescent="0.25">
      <c r="A29" s="1"/>
      <c r="B29" s="1"/>
      <c r="C29" s="1"/>
      <c r="D29" s="1"/>
      <c r="E29" s="1"/>
      <c r="F29" s="1"/>
      <c r="G29" s="1"/>
    </row>
    <row r="30" spans="1:7" x14ac:dyDescent="0.25">
      <c r="A30" s="1"/>
      <c r="B30" s="107" t="s">
        <v>261</v>
      </c>
      <c r="C30" s="108"/>
      <c r="D30" s="108"/>
      <c r="E30" s="108"/>
      <c r="F30" s="109"/>
      <c r="G30" s="1"/>
    </row>
    <row r="31" spans="1:7" x14ac:dyDescent="0.25">
      <c r="A31" s="1"/>
      <c r="B31" s="119" t="s">
        <v>117</v>
      </c>
      <c r="C31" s="120"/>
      <c r="D31" s="121"/>
      <c r="E31" s="62">
        <f>IF(AND(E9&gt;0,(E9+E23)&gt;0),0,IF(AND(E9&gt;0,(E9+E23)&lt;0),(E9+E23),IF(AND(E9&lt;0,E23&lt;0),E23,0)))</f>
        <v>-36050</v>
      </c>
      <c r="F31" s="14" t="s">
        <v>3</v>
      </c>
      <c r="G31" s="1"/>
    </row>
    <row r="32" spans="1:7" x14ac:dyDescent="0.25">
      <c r="A32" s="1"/>
      <c r="B32" s="119" t="s">
        <v>85</v>
      </c>
      <c r="C32" s="120"/>
      <c r="D32" s="121"/>
      <c r="E32" s="9">
        <v>2</v>
      </c>
      <c r="F32" s="14" t="s">
        <v>18</v>
      </c>
      <c r="G32" s="1"/>
    </row>
    <row r="33" spans="1:7" x14ac:dyDescent="0.25">
      <c r="A33" s="1"/>
      <c r="B33" s="122" t="s">
        <v>116</v>
      </c>
      <c r="C33" s="122"/>
      <c r="D33" s="122"/>
      <c r="E33" s="61">
        <f>E31/E32</f>
        <v>-18025</v>
      </c>
      <c r="F33" s="17" t="s">
        <v>3</v>
      </c>
      <c r="G33" s="1"/>
    </row>
    <row r="34" spans="1:7" x14ac:dyDescent="0.25">
      <c r="A34" s="1"/>
      <c r="B34" s="123"/>
      <c r="C34" s="124"/>
      <c r="D34" s="124"/>
      <c r="E34" s="124"/>
      <c r="F34" s="12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oGh9GdQjT7+3QQ9F8m9p3guDk7+uq+/uAip/kceRA3eNb5iagzEHrK9d6bwzgeungLKmoWbXlE3qbkwIHvgnWA==" saltValue="c0gBf/0uhjevYUKT1S6oOA==" spinCount="100000" sheet="1" objects="1" scenarios="1"/>
  <mergeCells count="16">
    <mergeCell ref="B14:D14"/>
    <mergeCell ref="B3:F4"/>
    <mergeCell ref="B8:F8"/>
    <mergeCell ref="B9:D9"/>
    <mergeCell ref="B11:F11"/>
    <mergeCell ref="B13:F13"/>
    <mergeCell ref="B31:D31"/>
    <mergeCell ref="B32:D32"/>
    <mergeCell ref="B33:D33"/>
    <mergeCell ref="B34:F34"/>
    <mergeCell ref="B15:D15"/>
    <mergeCell ref="B17:F17"/>
    <mergeCell ref="B26:F26"/>
    <mergeCell ref="B27:D27"/>
    <mergeCell ref="B28:F28"/>
    <mergeCell ref="B30:F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7" t="s">
        <v>183</v>
      </c>
      <c r="C3" s="97"/>
      <c r="D3" s="97"/>
      <c r="E3" s="97"/>
      <c r="F3" s="97"/>
      <c r="G3" s="97"/>
      <c r="H3" s="97"/>
      <c r="I3" s="1"/>
    </row>
    <row r="4" spans="1:9" ht="15" customHeight="1" x14ac:dyDescent="0.25">
      <c r="A4" s="1"/>
      <c r="B4" s="97"/>
      <c r="C4" s="97"/>
      <c r="D4" s="97"/>
      <c r="E4" s="97"/>
      <c r="F4" s="97"/>
      <c r="G4" s="97"/>
      <c r="H4" s="9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7" t="s">
        <v>184</v>
      </c>
      <c r="C8" s="108"/>
      <c r="D8" s="108"/>
      <c r="E8" s="108"/>
      <c r="F8" s="108"/>
      <c r="G8" s="108"/>
      <c r="H8" s="109"/>
      <c r="I8" s="1"/>
    </row>
    <row r="9" spans="1:9" ht="15" customHeight="1" x14ac:dyDescent="0.25">
      <c r="A9" s="1"/>
      <c r="B9" s="132" t="s">
        <v>234</v>
      </c>
      <c r="C9" s="133"/>
      <c r="D9" s="133"/>
      <c r="E9" s="133"/>
      <c r="F9" s="133"/>
      <c r="G9" s="133"/>
      <c r="H9" s="134"/>
      <c r="I9" s="1"/>
    </row>
    <row r="10" spans="1:9" x14ac:dyDescent="0.25">
      <c r="A10" s="1"/>
      <c r="B10" s="135" t="s">
        <v>185</v>
      </c>
      <c r="C10" s="136"/>
      <c r="D10" s="136"/>
      <c r="E10" s="136"/>
      <c r="F10" s="137"/>
      <c r="G10" s="45"/>
      <c r="H10" s="9" t="s">
        <v>3</v>
      </c>
      <c r="I10" s="1"/>
    </row>
    <row r="11" spans="1:9" x14ac:dyDescent="0.25">
      <c r="A11" s="1"/>
      <c r="B11" s="135" t="s">
        <v>186</v>
      </c>
      <c r="C11" s="136"/>
      <c r="D11" s="136"/>
      <c r="E11" s="136"/>
      <c r="F11" s="137"/>
      <c r="G11" s="45"/>
      <c r="H11" s="9" t="s">
        <v>3</v>
      </c>
      <c r="I11" s="1"/>
    </row>
    <row r="12" spans="1:9" x14ac:dyDescent="0.25">
      <c r="A12" s="1"/>
      <c r="B12" s="135" t="s">
        <v>187</v>
      </c>
      <c r="C12" s="136"/>
      <c r="D12" s="136"/>
      <c r="E12" s="136"/>
      <c r="F12" s="137"/>
      <c r="G12" s="9"/>
      <c r="H12" s="9" t="s">
        <v>3</v>
      </c>
      <c r="I12" s="1"/>
    </row>
    <row r="13" spans="1:9" x14ac:dyDescent="0.25">
      <c r="A13" s="1"/>
      <c r="B13" s="135" t="s">
        <v>188</v>
      </c>
      <c r="C13" s="136"/>
      <c r="D13" s="136"/>
      <c r="E13" s="136"/>
      <c r="F13" s="137"/>
      <c r="G13" s="9"/>
      <c r="H13" s="9" t="s">
        <v>3</v>
      </c>
      <c r="I13" s="1"/>
    </row>
    <row r="14" spans="1:9" x14ac:dyDescent="0.25">
      <c r="A14" s="1"/>
      <c r="B14" s="135" t="s">
        <v>189</v>
      </c>
      <c r="C14" s="136"/>
      <c r="D14" s="136"/>
      <c r="E14" s="136"/>
      <c r="F14" s="137"/>
      <c r="G14" s="9"/>
      <c r="H14" s="9" t="s">
        <v>3</v>
      </c>
      <c r="I14" s="1"/>
    </row>
    <row r="15" spans="1:9" x14ac:dyDescent="0.25">
      <c r="A15" s="1"/>
      <c r="B15" s="135" t="s">
        <v>190</v>
      </c>
      <c r="C15" s="136"/>
      <c r="D15" s="136"/>
      <c r="E15" s="136"/>
      <c r="F15" s="137"/>
      <c r="G15" s="9"/>
      <c r="H15" s="9" t="s">
        <v>3</v>
      </c>
      <c r="I15" s="1"/>
    </row>
    <row r="16" spans="1:9" x14ac:dyDescent="0.25">
      <c r="A16" s="1"/>
      <c r="B16" s="135" t="s">
        <v>191</v>
      </c>
      <c r="C16" s="136"/>
      <c r="D16" s="136"/>
      <c r="E16" s="136"/>
      <c r="F16" s="137"/>
      <c r="G16" s="9"/>
      <c r="H16" s="9" t="s">
        <v>3</v>
      </c>
      <c r="I16" s="1"/>
    </row>
    <row r="17" spans="1:9" x14ac:dyDescent="0.25">
      <c r="A17" s="1"/>
      <c r="B17" s="135" t="s">
        <v>192</v>
      </c>
      <c r="C17" s="136"/>
      <c r="D17" s="136"/>
      <c r="E17" s="136"/>
      <c r="F17" s="137"/>
      <c r="G17" s="9"/>
      <c r="H17" s="9" t="s">
        <v>3</v>
      </c>
      <c r="I17" s="1"/>
    </row>
    <row r="18" spans="1:9" x14ac:dyDescent="0.25">
      <c r="A18" s="1"/>
      <c r="B18" s="107" t="s">
        <v>193</v>
      </c>
      <c r="C18" s="108"/>
      <c r="D18" s="108"/>
      <c r="E18" s="108"/>
      <c r="F18" s="10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F9omMRrCoYtZIETt0A1jR4wkG7F+w2UEP3daZETUwq6UhUvIBHLtCFJh7UTy5tOSyFfN9oOPXeRjvficOV9hWg==" saltValue="r4y8GLEn6iQuO/xzS6szfw=="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5"/>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7" t="s">
        <v>177</v>
      </c>
      <c r="C3" s="97"/>
      <c r="D3" s="97"/>
      <c r="E3" s="97"/>
      <c r="F3" s="97"/>
      <c r="G3" s="97"/>
      <c r="H3" s="97"/>
      <c r="I3" s="97"/>
      <c r="J3" s="97"/>
      <c r="K3" s="97"/>
      <c r="L3" s="1"/>
    </row>
    <row r="4" spans="1:12" ht="15" customHeight="1" x14ac:dyDescent="0.25">
      <c r="A4" s="1"/>
      <c r="B4" s="97"/>
      <c r="C4" s="97"/>
      <c r="D4" s="97"/>
      <c r="E4" s="97"/>
      <c r="F4" s="97"/>
      <c r="G4" s="97"/>
      <c r="H4" s="97"/>
      <c r="I4" s="97"/>
      <c r="J4" s="97"/>
      <c r="K4" s="9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7" t="s">
        <v>155</v>
      </c>
      <c r="C8" s="108"/>
      <c r="D8" s="108"/>
      <c r="E8" s="108"/>
      <c r="F8" s="108"/>
      <c r="G8" s="108"/>
      <c r="H8" s="108"/>
      <c r="I8" s="108"/>
      <c r="J8" s="108"/>
      <c r="K8" s="109"/>
      <c r="L8" s="1"/>
    </row>
    <row r="9" spans="1:12" ht="39.75" customHeight="1" x14ac:dyDescent="0.25">
      <c r="A9" s="1"/>
      <c r="B9" s="18" t="s">
        <v>0</v>
      </c>
      <c r="C9" s="18" t="s">
        <v>1</v>
      </c>
      <c r="D9" s="138" t="s">
        <v>170</v>
      </c>
      <c r="E9" s="139"/>
      <c r="F9" s="138" t="s">
        <v>2</v>
      </c>
      <c r="G9" s="139"/>
      <c r="H9" s="138" t="s">
        <v>171</v>
      </c>
      <c r="I9" s="139"/>
      <c r="J9" s="138" t="s">
        <v>26</v>
      </c>
      <c r="K9" s="139"/>
      <c r="L9" s="1"/>
    </row>
    <row r="10" spans="1:12" ht="42" customHeight="1" x14ac:dyDescent="0.25">
      <c r="A10" s="1"/>
      <c r="B10" s="63" t="s">
        <v>267</v>
      </c>
      <c r="C10" s="31">
        <v>10</v>
      </c>
      <c r="D10" s="9">
        <v>5213488.6100000003</v>
      </c>
      <c r="E10" s="14" t="s">
        <v>3</v>
      </c>
      <c r="F10" s="22">
        <f>IFERROR(D10/C10,0)</f>
        <v>521348.86100000003</v>
      </c>
      <c r="G10" s="14" t="s">
        <v>3</v>
      </c>
      <c r="H10" s="9"/>
      <c r="I10" s="14" t="s">
        <v>3</v>
      </c>
      <c r="J10" s="9">
        <v>169438.38</v>
      </c>
      <c r="K10" s="14" t="s">
        <v>3</v>
      </c>
      <c r="L10" s="1"/>
    </row>
    <row r="11" spans="1:12" x14ac:dyDescent="0.25">
      <c r="A11" s="1"/>
      <c r="B11" s="63" t="s">
        <v>268</v>
      </c>
      <c r="C11" s="31">
        <v>75</v>
      </c>
      <c r="D11" s="9">
        <v>3752.28</v>
      </c>
      <c r="E11" s="14" t="s">
        <v>3</v>
      </c>
      <c r="F11" s="22">
        <f t="shared" ref="F11:F14" si="0">IFERROR(D11/C11,0)</f>
        <v>50.0304</v>
      </c>
      <c r="G11" s="14" t="s">
        <v>3</v>
      </c>
      <c r="H11" s="9"/>
      <c r="I11" s="14" t="s">
        <v>3</v>
      </c>
      <c r="J11" s="9">
        <v>121.95</v>
      </c>
      <c r="K11" s="14" t="s">
        <v>3</v>
      </c>
      <c r="L11" s="1"/>
    </row>
    <row r="12" spans="1:12" ht="39" x14ac:dyDescent="0.25">
      <c r="A12" s="1"/>
      <c r="B12" s="63" t="s">
        <v>269</v>
      </c>
      <c r="C12" s="31">
        <v>50</v>
      </c>
      <c r="D12" s="9">
        <v>638162.47</v>
      </c>
      <c r="E12" s="14" t="s">
        <v>3</v>
      </c>
      <c r="F12" s="22">
        <f t="shared" si="0"/>
        <v>12763.249399999999</v>
      </c>
      <c r="G12" s="14" t="s">
        <v>3</v>
      </c>
      <c r="H12" s="9"/>
      <c r="I12" s="14" t="s">
        <v>3</v>
      </c>
      <c r="J12" s="9">
        <v>20740.28</v>
      </c>
      <c r="K12" s="14" t="s">
        <v>3</v>
      </c>
      <c r="L12" s="1"/>
    </row>
    <row r="13" spans="1:12" ht="27" customHeight="1" x14ac:dyDescent="0.25">
      <c r="A13" s="1"/>
      <c r="B13" s="63" t="s">
        <v>270</v>
      </c>
      <c r="C13" s="31">
        <v>75</v>
      </c>
      <c r="D13" s="9">
        <v>36228.589999999997</v>
      </c>
      <c r="E13" s="14" t="s">
        <v>3</v>
      </c>
      <c r="F13" s="22">
        <f t="shared" si="0"/>
        <v>483.04786666666661</v>
      </c>
      <c r="G13" s="14" t="s">
        <v>3</v>
      </c>
      <c r="H13" s="9"/>
      <c r="I13" s="14" t="s">
        <v>3</v>
      </c>
      <c r="J13" s="9">
        <v>1177.43</v>
      </c>
      <c r="K13" s="14" t="s">
        <v>3</v>
      </c>
      <c r="L13" s="1"/>
    </row>
    <row r="14" spans="1:12" ht="27" customHeight="1" x14ac:dyDescent="0.25">
      <c r="A14" s="1"/>
      <c r="B14" s="63" t="s">
        <v>271</v>
      </c>
      <c r="C14" s="31">
        <v>75</v>
      </c>
      <c r="D14" s="9">
        <v>59610.97</v>
      </c>
      <c r="E14" s="14" t="s">
        <v>3</v>
      </c>
      <c r="F14" s="22">
        <f t="shared" si="0"/>
        <v>794.81293333333338</v>
      </c>
      <c r="G14" s="14" t="s">
        <v>3</v>
      </c>
      <c r="H14" s="9"/>
      <c r="I14" s="14" t="s">
        <v>3</v>
      </c>
      <c r="J14" s="9">
        <v>1937.36</v>
      </c>
      <c r="K14" s="14" t="s">
        <v>3</v>
      </c>
      <c r="L14" s="1"/>
    </row>
    <row r="15" spans="1:12" ht="30" customHeight="1" x14ac:dyDescent="0.25">
      <c r="A15" s="1"/>
      <c r="B15" s="63" t="s">
        <v>272</v>
      </c>
      <c r="C15" s="31">
        <v>75</v>
      </c>
      <c r="D15" s="9">
        <v>521518.56</v>
      </c>
      <c r="E15" s="14" t="s">
        <v>3</v>
      </c>
      <c r="F15" s="22">
        <f t="shared" ref="F15:F17" si="1">IFERROR(D15/C15,0)</f>
        <v>6953.5807999999997</v>
      </c>
      <c r="G15" s="14" t="s">
        <v>3</v>
      </c>
      <c r="H15" s="9"/>
      <c r="I15" s="14" t="s">
        <v>3</v>
      </c>
      <c r="J15" s="9">
        <v>16949.349999999999</v>
      </c>
      <c r="K15" s="14" t="s">
        <v>3</v>
      </c>
      <c r="L15" s="1"/>
    </row>
    <row r="16" spans="1:12" ht="29.25" customHeight="1" x14ac:dyDescent="0.25">
      <c r="A16" s="1"/>
      <c r="B16" s="63" t="s">
        <v>273</v>
      </c>
      <c r="C16" s="31">
        <v>75</v>
      </c>
      <c r="D16" s="9">
        <v>6095883.5999999996</v>
      </c>
      <c r="E16" s="14" t="s">
        <v>3</v>
      </c>
      <c r="F16" s="22">
        <f t="shared" si="1"/>
        <v>81278.447999999989</v>
      </c>
      <c r="G16" s="14" t="s">
        <v>3</v>
      </c>
      <c r="H16" s="9">
        <v>16979</v>
      </c>
      <c r="I16" s="14" t="s">
        <v>3</v>
      </c>
      <c r="J16" s="9">
        <v>198116.22</v>
      </c>
      <c r="K16" s="14" t="s">
        <v>3</v>
      </c>
      <c r="L16" s="1"/>
    </row>
    <row r="17" spans="1:12" ht="26.25" x14ac:dyDescent="0.25">
      <c r="A17" s="1"/>
      <c r="B17" s="63" t="s">
        <v>274</v>
      </c>
      <c r="C17" s="31">
        <v>75</v>
      </c>
      <c r="D17" s="9">
        <v>242019.20000000001</v>
      </c>
      <c r="E17" s="14" t="s">
        <v>3</v>
      </c>
      <c r="F17" s="22">
        <f t="shared" si="1"/>
        <v>3226.9226666666668</v>
      </c>
      <c r="G17" s="14" t="s">
        <v>3</v>
      </c>
      <c r="H17" s="9"/>
      <c r="I17" s="14" t="s">
        <v>3</v>
      </c>
      <c r="J17" s="9">
        <v>7865.62</v>
      </c>
      <c r="K17" s="14" t="s">
        <v>3</v>
      </c>
      <c r="L17" s="1"/>
    </row>
    <row r="18" spans="1:12" x14ac:dyDescent="0.25">
      <c r="A18" s="1"/>
      <c r="B18" s="52" t="s">
        <v>215</v>
      </c>
      <c r="C18" s="53"/>
      <c r="D18" s="19"/>
      <c r="E18" s="68"/>
      <c r="F18" s="12">
        <f>SUM(F10:F17)</f>
        <v>626898.95306666673</v>
      </c>
      <c r="G18" s="13" t="s">
        <v>3</v>
      </c>
      <c r="H18" s="12">
        <f>SUM(H10:H17)</f>
        <v>16979</v>
      </c>
      <c r="I18" s="13" t="s">
        <v>3</v>
      </c>
      <c r="J18" s="12">
        <f>SUM(J10:J17)</f>
        <v>416346.58999999997</v>
      </c>
      <c r="K18" s="13" t="s">
        <v>3</v>
      </c>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44"/>
      <c r="B42" s="44"/>
      <c r="C42" s="44"/>
      <c r="D42" s="44"/>
      <c r="E42" s="44"/>
      <c r="F42" s="44"/>
      <c r="G42" s="44"/>
      <c r="H42" s="44"/>
      <c r="I42" s="44"/>
      <c r="J42" s="44"/>
      <c r="K42" s="44"/>
      <c r="L42" s="44"/>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sheetData>
  <sheetProtection algorithmName="SHA-512" hashValue="12tbd4AVLjeMdaMJvvKV/GmquTzF8e19sIdWKB1+aSFLiG7WNzRYlAQF6lE6k8IjhfpRv6fO/sJrvzucZAKhVg==" saltValue="eLYrzwH0dGg0oaa0gLcTF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178</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70</v>
      </c>
      <c r="C8" s="53"/>
      <c r="D8" s="53"/>
      <c r="E8" s="53"/>
      <c r="F8" s="19"/>
      <c r="G8" s="1"/>
    </row>
    <row r="9" spans="1:7" ht="17.25" customHeight="1" x14ac:dyDescent="0.25">
      <c r="A9" s="1"/>
      <c r="B9" s="77" t="s">
        <v>15</v>
      </c>
      <c r="C9" s="77" t="s">
        <v>10</v>
      </c>
      <c r="D9" s="78"/>
      <c r="E9" s="77" t="s">
        <v>27</v>
      </c>
      <c r="F9" s="30"/>
      <c r="G9" s="1"/>
    </row>
    <row r="10" spans="1:7" x14ac:dyDescent="0.25">
      <c r="A10" s="1"/>
      <c r="B10" s="23" t="s">
        <v>161</v>
      </c>
      <c r="C10" s="21">
        <f>'Fane 9. Anlægsprojekter (§ 19) '!H18</f>
        <v>16979</v>
      </c>
      <c r="D10" s="14" t="s">
        <v>3</v>
      </c>
      <c r="E10" s="9">
        <f>'Fane 9. Anlægsprojekter (§ 19) '!F18+'Fane 9. Anlægsprojekter (§ 19) '!J18</f>
        <v>1043245.5430666667</v>
      </c>
      <c r="F10" s="14" t="s">
        <v>3</v>
      </c>
      <c r="G10" s="1"/>
    </row>
    <row r="11" spans="1:7" x14ac:dyDescent="0.25">
      <c r="A11" s="1"/>
      <c r="B11" s="27" t="s">
        <v>262</v>
      </c>
      <c r="C11" s="21">
        <v>308</v>
      </c>
      <c r="D11" s="14" t="s">
        <v>3</v>
      </c>
      <c r="E11" s="9">
        <v>45076.979999999996</v>
      </c>
      <c r="F11" s="14" t="s">
        <v>3</v>
      </c>
      <c r="G11" s="1"/>
    </row>
    <row r="12" spans="1:7" x14ac:dyDescent="0.25">
      <c r="A12" s="1"/>
      <c r="B12" s="27" t="s">
        <v>263</v>
      </c>
      <c r="C12" s="21">
        <v>22863</v>
      </c>
      <c r="D12" s="14" t="s">
        <v>3</v>
      </c>
      <c r="E12" s="9">
        <v>21976.84</v>
      </c>
      <c r="F12" s="14" t="s">
        <v>3</v>
      </c>
      <c r="G12" s="1"/>
    </row>
    <row r="13" spans="1:7" x14ac:dyDescent="0.25">
      <c r="A13" s="1"/>
      <c r="B13" s="27" t="s">
        <v>264</v>
      </c>
      <c r="C13" s="21">
        <v>0</v>
      </c>
      <c r="D13" s="14" t="s">
        <v>3</v>
      </c>
      <c r="E13" s="9">
        <v>137106.09999999998</v>
      </c>
      <c r="F13" s="14" t="s">
        <v>3</v>
      </c>
      <c r="G13" s="1"/>
    </row>
    <row r="14" spans="1:7" x14ac:dyDescent="0.25">
      <c r="A14" s="1"/>
      <c r="B14" s="27" t="s">
        <v>265</v>
      </c>
      <c r="C14" s="21">
        <v>470633.78</v>
      </c>
      <c r="D14" s="14" t="s">
        <v>3</v>
      </c>
      <c r="E14" s="9">
        <v>12363.34</v>
      </c>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2" t="s">
        <v>151</v>
      </c>
      <c r="C17" s="12">
        <f>SUM(C10:C16)</f>
        <v>510783.78</v>
      </c>
      <c r="D17" s="13" t="s">
        <v>3</v>
      </c>
      <c r="E17" s="12">
        <f>SUM(E10:E16)</f>
        <v>1259768.8030666669</v>
      </c>
      <c r="F17" s="13" t="s">
        <v>3</v>
      </c>
      <c r="G17" s="1"/>
    </row>
    <row r="18" spans="1:7" x14ac:dyDescent="0.25">
      <c r="A18" s="1"/>
      <c r="B18" s="52" t="s">
        <v>209</v>
      </c>
      <c r="C18" s="12">
        <f>C17*(1+'Fane 13. Nøgletal'!C16)</f>
        <v>552055.10942400002</v>
      </c>
      <c r="D18" s="13" t="s">
        <v>3</v>
      </c>
      <c r="E18" s="12">
        <f>E17*(1+'Fane 13. Nøgletal'!C16)</f>
        <v>1361558.1223544537</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dUhJxd0BzlIY1hgQmhfQ7Q8HazoJWUEEclKrrIpdB6smVfGDSIlCaMrUC5+Uv496bX+scZFMNe9fZMQfIF+AYw==" saltValue="Jxg0QmuPOoFWxQ68BO0qrg=="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179</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7" t="s">
        <v>217</v>
      </c>
      <c r="C9" s="108"/>
      <c r="D9" s="108"/>
      <c r="E9" s="108"/>
      <c r="F9" s="109"/>
      <c r="G9" s="1"/>
    </row>
    <row r="10" spans="1:7" ht="26.25" x14ac:dyDescent="0.25">
      <c r="A10" s="1"/>
      <c r="B10" s="77" t="s">
        <v>15</v>
      </c>
      <c r="C10" s="77" t="s">
        <v>10</v>
      </c>
      <c r="D10" s="78"/>
      <c r="E10" s="77" t="s">
        <v>27</v>
      </c>
      <c r="F10" s="30"/>
      <c r="G10" s="1"/>
    </row>
    <row r="11" spans="1:7" x14ac:dyDescent="0.25">
      <c r="A11" s="1"/>
      <c r="B11" s="23" t="s">
        <v>266</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2" t="s">
        <v>218</v>
      </c>
      <c r="C14" s="12">
        <f>SUM(C11:C13)</f>
        <v>0</v>
      </c>
      <c r="D14" s="13" t="s">
        <v>3</v>
      </c>
      <c r="E14" s="12">
        <f>SUM(E11:E13)</f>
        <v>0</v>
      </c>
      <c r="F14" s="13" t="s">
        <v>3</v>
      </c>
      <c r="G14" s="1"/>
    </row>
    <row r="15" spans="1:7" x14ac:dyDescent="0.25">
      <c r="A15" s="1"/>
      <c r="B15" s="52"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4m+nixduopZoL1qI4lTErOd6PlnwNb+EJsSc+FnaWLT2RDYnGKo4BQnTHp7yIKmZKsM1S6EqFM5b8b09rz+8w==" saltValue="PtO1lRrh9eX6RbkkbO1Fcw=="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180</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7" t="s">
        <v>104</v>
      </c>
      <c r="C8" s="108"/>
      <c r="D8" s="108"/>
      <c r="E8" s="108"/>
      <c r="F8" s="109"/>
      <c r="G8" s="1"/>
    </row>
    <row r="9" spans="1:7" ht="15" customHeight="1" x14ac:dyDescent="0.25">
      <c r="A9" s="1"/>
      <c r="B9" s="54" t="s">
        <v>105</v>
      </c>
      <c r="C9" s="132" t="s">
        <v>10</v>
      </c>
      <c r="D9" s="134"/>
      <c r="E9" s="132" t="s">
        <v>27</v>
      </c>
      <c r="F9" s="134"/>
      <c r="G9" s="1"/>
    </row>
    <row r="10" spans="1:7" ht="26.25" x14ac:dyDescent="0.25">
      <c r="A10" s="1"/>
      <c r="B10" s="57" t="s">
        <v>240</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SjtCejbbTbwKw3RdTu9r1PqgVBssM6NYT7Kcd6tMatshrp7t77RA5xYG217+JSbz43u1i673NHJuOUiulruduw==" saltValue="Wh+r3ZtsYCBAmn1ZZBXIP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181</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7" t="s">
        <v>237</v>
      </c>
      <c r="C10" s="108"/>
      <c r="D10" s="108"/>
      <c r="E10" s="108"/>
      <c r="F10" s="109"/>
      <c r="G10" s="1"/>
    </row>
    <row r="11" spans="1:7" ht="26.25" x14ac:dyDescent="0.25">
      <c r="A11" s="1"/>
      <c r="B11" s="54" t="s">
        <v>16</v>
      </c>
      <c r="C11" s="54" t="s">
        <v>10</v>
      </c>
      <c r="D11" s="30"/>
      <c r="E11" s="54" t="s">
        <v>27</v>
      </c>
      <c r="F11" s="30"/>
      <c r="G11" s="1"/>
    </row>
    <row r="12" spans="1:7" x14ac:dyDescent="0.25">
      <c r="A12" s="1"/>
      <c r="B12" s="57" t="s">
        <v>241</v>
      </c>
      <c r="C12" s="9">
        <v>0</v>
      </c>
      <c r="D12" s="14" t="s">
        <v>3</v>
      </c>
      <c r="E12" s="9">
        <v>0</v>
      </c>
      <c r="F12" s="14" t="s">
        <v>3</v>
      </c>
      <c r="G12" s="1"/>
    </row>
    <row r="13" spans="1:7" x14ac:dyDescent="0.25">
      <c r="A13" s="1"/>
      <c r="B13" s="52" t="s">
        <v>78</v>
      </c>
      <c r="C13" s="12">
        <f>SUM(C12:C12)</f>
        <v>0</v>
      </c>
      <c r="D13" s="13" t="s">
        <v>3</v>
      </c>
      <c r="E13" s="12">
        <f>SUM(E12:E12)</f>
        <v>0</v>
      </c>
      <c r="F13" s="13" t="s">
        <v>3</v>
      </c>
      <c r="G13" s="1"/>
    </row>
    <row r="14" spans="1:7" x14ac:dyDescent="0.25">
      <c r="A14" s="1"/>
      <c r="B14" s="52"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Fy1PlqP1f2Eo7HHjsFxOKJcTmtul0xAXObidnAoZwdJNk0XpjV3hd7Gu9o2mL6YPfwO0vEDNiaeWM5WQXuhjVw==" saltValue="KkVzgcyPvVId4netuGDUKw=="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0" t="s">
        <v>182</v>
      </c>
      <c r="C3" s="100"/>
      <c r="D3" s="1"/>
    </row>
    <row r="4" spans="1:4" ht="25.5" customHeight="1" x14ac:dyDescent="0.25">
      <c r="A4" s="1"/>
      <c r="B4" s="100"/>
      <c r="C4" s="100"/>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2" t="s">
        <v>13</v>
      </c>
      <c r="C8" s="39"/>
      <c r="D8" s="1"/>
    </row>
    <row r="9" spans="1:4" x14ac:dyDescent="0.25">
      <c r="A9" s="1"/>
      <c r="B9" s="72" t="s">
        <v>93</v>
      </c>
      <c r="C9" s="40">
        <v>1.2699999999999999E-2</v>
      </c>
      <c r="D9" s="1"/>
    </row>
    <row r="10" spans="1:4" x14ac:dyDescent="0.25">
      <c r="A10" s="1"/>
      <c r="B10" s="72" t="s">
        <v>21</v>
      </c>
      <c r="C10" s="40">
        <v>1.7500000000000002E-2</v>
      </c>
      <c r="D10" s="1"/>
    </row>
    <row r="11" spans="1:4" x14ac:dyDescent="0.25">
      <c r="A11" s="1"/>
      <c r="B11" s="72"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7"/>
      <c r="C17" s="109"/>
      <c r="D17" s="1"/>
    </row>
    <row r="18" spans="1:4" x14ac:dyDescent="0.25">
      <c r="A18" s="1"/>
      <c r="B18" s="1"/>
      <c r="C18" s="38"/>
      <c r="D18" s="1"/>
    </row>
    <row r="19" spans="1:4" x14ac:dyDescent="0.25">
      <c r="A19" s="1"/>
      <c r="B19" s="1"/>
      <c r="C19" s="38"/>
      <c r="D19" s="1"/>
    </row>
    <row r="20" spans="1:4" x14ac:dyDescent="0.25">
      <c r="A20" s="1"/>
      <c r="B20" s="52" t="s">
        <v>81</v>
      </c>
      <c r="C20" s="39"/>
      <c r="D20" s="1"/>
    </row>
    <row r="21" spans="1:4" x14ac:dyDescent="0.25">
      <c r="A21" s="1"/>
      <c r="B21" s="72" t="s">
        <v>95</v>
      </c>
      <c r="C21" s="42">
        <v>9.1000000000000004E-3</v>
      </c>
      <c r="D21" s="1"/>
    </row>
    <row r="22" spans="1:4" x14ac:dyDescent="0.25">
      <c r="A22" s="1"/>
      <c r="B22" s="72" t="s">
        <v>96</v>
      </c>
      <c r="C22" s="42">
        <v>1.77E-2</v>
      </c>
      <c r="D22" s="1"/>
    </row>
    <row r="23" spans="1:4" x14ac:dyDescent="0.25">
      <c r="A23" s="1"/>
      <c r="B23" s="72" t="s">
        <v>97</v>
      </c>
      <c r="C23" s="42">
        <v>8.6999999999999994E-3</v>
      </c>
      <c r="D23" s="1"/>
    </row>
    <row r="24" spans="1:4" x14ac:dyDescent="0.25">
      <c r="A24" s="1"/>
      <c r="B24" s="72" t="s">
        <v>98</v>
      </c>
      <c r="C24" s="42">
        <v>2.8400000000000002E-2</v>
      </c>
      <c r="D24" s="1"/>
    </row>
    <row r="25" spans="1:4" x14ac:dyDescent="0.25">
      <c r="A25" s="1"/>
      <c r="B25" s="72" t="s">
        <v>111</v>
      </c>
      <c r="C25" s="42">
        <v>2.75E-2</v>
      </c>
      <c r="D25" s="1"/>
    </row>
    <row r="26" spans="1:4" x14ac:dyDescent="0.25">
      <c r="A26" s="1"/>
      <c r="B26" s="72"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2"/>
      <c r="C29" s="39"/>
      <c r="D29" s="1"/>
    </row>
    <row r="30" spans="1:4" x14ac:dyDescent="0.25">
      <c r="A30" s="1"/>
      <c r="B30" s="1"/>
      <c r="C30" s="38"/>
      <c r="D30" s="1"/>
    </row>
    <row r="31" spans="1:4" x14ac:dyDescent="0.25">
      <c r="A31" s="1"/>
      <c r="B31" s="1"/>
      <c r="C31" s="38"/>
      <c r="D31" s="1"/>
    </row>
    <row r="32" spans="1:4" x14ac:dyDescent="0.25">
      <c r="A32" s="1"/>
      <c r="B32" s="52" t="s">
        <v>82</v>
      </c>
      <c r="C32" s="39"/>
      <c r="D32" s="1"/>
    </row>
    <row r="33" spans="1:4" x14ac:dyDescent="0.25">
      <c r="A33" s="1"/>
      <c r="B33" s="72" t="s">
        <v>99</v>
      </c>
      <c r="C33" s="40">
        <v>0.02</v>
      </c>
      <c r="D33" s="1"/>
    </row>
    <row r="34" spans="1:4" x14ac:dyDescent="0.25">
      <c r="A34" s="1"/>
      <c r="B34" s="52"/>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ukPH6hajJvu8x0YEwgcGbdEhPNz41/0BwrnSQgDTr3yXw+uTm4iUguce9jfJoZh1XKhnznI4s7sUTbHI6R7W4w==" saltValue="HEPsUzUcuXQndsh/M2X2jQ=="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198</v>
      </c>
      <c r="C3" s="97"/>
      <c r="D3" s="97"/>
      <c r="E3" s="1"/>
    </row>
    <row r="4" spans="1:5" ht="15" customHeight="1"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2" t="s">
        <v>12</v>
      </c>
      <c r="C7" s="53"/>
      <c r="D7" s="19"/>
      <c r="E7" s="1"/>
    </row>
    <row r="8" spans="1:5" x14ac:dyDescent="0.25">
      <c r="A8" s="1"/>
      <c r="B8" s="55" t="s">
        <v>109</v>
      </c>
      <c r="C8" s="7">
        <f>'Fane 3. Omkostninger i ØR2023'!C19</f>
        <v>23022530.021822792</v>
      </c>
      <c r="D8" s="8" t="s">
        <v>3</v>
      </c>
      <c r="E8" s="1"/>
    </row>
    <row r="9" spans="1:5" ht="17.100000000000001" customHeight="1" x14ac:dyDescent="0.25">
      <c r="A9" s="1"/>
      <c r="B9" s="24" t="s">
        <v>33</v>
      </c>
      <c r="C9" s="7">
        <f>'Fane 10.1. Varige tillæg'!C18</f>
        <v>552055.10942400002</v>
      </c>
      <c r="D9" s="8" t="s">
        <v>3</v>
      </c>
      <c r="E9" s="1"/>
    </row>
    <row r="10" spans="1:5" ht="17.100000000000001" customHeight="1" x14ac:dyDescent="0.25">
      <c r="A10" s="1"/>
      <c r="B10" s="24" t="s">
        <v>34</v>
      </c>
      <c r="C10" s="9">
        <f>'Fane 10.1. Varige tillæg'!E18</f>
        <v>1361558.1223544537</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974222.01790459035</v>
      </c>
      <c r="D15" s="8" t="s">
        <v>3</v>
      </c>
      <c r="E15" s="1"/>
    </row>
    <row r="16" spans="1:5" ht="17.100000000000001" customHeight="1" x14ac:dyDescent="0.25">
      <c r="A16" s="1"/>
      <c r="B16" s="24" t="s">
        <v>9</v>
      </c>
      <c r="C16" s="9">
        <f>-SUM(C8,C9:C15)*'Fane 5. Individuelt eff. krav'!G9</f>
        <v>-518207.30543011671</v>
      </c>
      <c r="D16" s="8" t="s">
        <v>3</v>
      </c>
      <c r="E16" s="1"/>
    </row>
    <row r="17" spans="1:5" ht="17.100000000000001" customHeight="1" x14ac:dyDescent="0.25">
      <c r="A17" s="1"/>
      <c r="B17" s="24" t="s">
        <v>22</v>
      </c>
      <c r="C17" s="9">
        <f>-'Fane 4.1. Gen. krav - drift'!G49</f>
        <v>-238878.02955945546</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4" t="s">
        <v>19</v>
      </c>
      <c r="C19" s="10">
        <f>SUM(C8:C18)</f>
        <v>25153279.936516263</v>
      </c>
      <c r="D19" s="11" t="s">
        <v>3</v>
      </c>
      <c r="E19" s="1"/>
    </row>
    <row r="20" spans="1:5" ht="15" customHeight="1" x14ac:dyDescent="0.25">
      <c r="A20" s="1"/>
      <c r="B20" s="52" t="s">
        <v>11</v>
      </c>
      <c r="C20" s="53"/>
      <c r="D20" s="19"/>
      <c r="E20" s="1"/>
    </row>
    <row r="21" spans="1:5" ht="15" customHeight="1" x14ac:dyDescent="0.25">
      <c r="A21" s="1"/>
      <c r="B21" s="54" t="s">
        <v>11</v>
      </c>
      <c r="C21" s="10">
        <f>'Fane 6. Ikke-påvirkelige omk.'!C20</f>
        <v>14170081.842723429</v>
      </c>
      <c r="D21" s="11" t="s">
        <v>3</v>
      </c>
      <c r="E21" s="1"/>
    </row>
    <row r="22" spans="1:5" ht="15" customHeight="1" x14ac:dyDescent="0.25">
      <c r="A22" s="1"/>
      <c r="B22" s="52" t="s">
        <v>75</v>
      </c>
      <c r="C22" s="53"/>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4" t="s">
        <v>76</v>
      </c>
      <c r="C27" s="56">
        <f>SUM(C23:C26)</f>
        <v>0</v>
      </c>
      <c r="D27" s="11" t="s">
        <v>3</v>
      </c>
      <c r="E27" s="1"/>
    </row>
    <row r="28" spans="1:5" ht="15" customHeight="1" x14ac:dyDescent="0.25">
      <c r="A28" s="1"/>
      <c r="B28" s="26" t="s">
        <v>117</v>
      </c>
      <c r="C28" s="53"/>
      <c r="D28" s="19"/>
      <c r="E28" s="1"/>
    </row>
    <row r="29" spans="1:5" x14ac:dyDescent="0.25">
      <c r="A29" s="1"/>
      <c r="B29" s="73" t="s">
        <v>118</v>
      </c>
      <c r="C29" s="10">
        <f>'Fane 7. Kontrol af ØR2022'!E15</f>
        <v>-786617</v>
      </c>
      <c r="D29" s="11" t="s">
        <v>3</v>
      </c>
      <c r="E29" s="1"/>
    </row>
    <row r="30" spans="1:5" x14ac:dyDescent="0.25">
      <c r="A30" s="1"/>
      <c r="B30" s="26" t="s">
        <v>138</v>
      </c>
      <c r="C30" s="53"/>
      <c r="D30" s="19"/>
      <c r="E30" s="1"/>
    </row>
    <row r="31" spans="1:5" x14ac:dyDescent="0.25">
      <c r="A31" s="1"/>
      <c r="B31" s="73" t="s">
        <v>139</v>
      </c>
      <c r="C31" s="10">
        <f>'Fane 8. Skattesagen'!G13</f>
        <v>0</v>
      </c>
      <c r="D31" s="11" t="s">
        <v>3</v>
      </c>
      <c r="E31" s="1"/>
    </row>
    <row r="32" spans="1:5" x14ac:dyDescent="0.25">
      <c r="A32" s="1"/>
      <c r="B32" s="26" t="s">
        <v>275</v>
      </c>
      <c r="C32" s="53"/>
      <c r="D32" s="19"/>
      <c r="E32" s="1"/>
    </row>
    <row r="33" spans="1:5" x14ac:dyDescent="0.25">
      <c r="A33" s="1"/>
      <c r="B33" s="73" t="s">
        <v>276</v>
      </c>
      <c r="C33" s="10">
        <v>252473.37198527309</v>
      </c>
      <c r="D33" s="11" t="s">
        <v>3</v>
      </c>
      <c r="E33" s="1"/>
    </row>
    <row r="34" spans="1:5" x14ac:dyDescent="0.25">
      <c r="A34" s="1"/>
      <c r="B34" s="52" t="s">
        <v>126</v>
      </c>
      <c r="C34" s="33">
        <f>SUM(C19,C21,C27,C29,C31,C33)</f>
        <v>38789218.151224963</v>
      </c>
      <c r="D34" s="19" t="s">
        <v>3</v>
      </c>
      <c r="E34" s="1"/>
    </row>
    <row r="35" spans="1:5" x14ac:dyDescent="0.25">
      <c r="A35" s="1"/>
      <c r="B35" s="1" t="s">
        <v>168</v>
      </c>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mVblXFTqZBJiQ9OJaHYyYMLhGyNeILEv1xAI/PqYPKuAtsYLi9qAM+Y+Ck8C14OeiMC5itKMjda5TfL6zkzmPw==" saltValue="z+9v6MgD5br+fhQ//rr4b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199</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127</v>
      </c>
      <c r="C8" s="7">
        <f>'Fane 2.1. Økonomisk ramme 2024'!C19</f>
        <v>25153279.936516263</v>
      </c>
      <c r="D8" s="8" t="s">
        <v>3</v>
      </c>
      <c r="E8" s="1"/>
    </row>
    <row r="9" spans="1:5" ht="15" customHeight="1" x14ac:dyDescent="0.25">
      <c r="A9" s="1"/>
      <c r="B9" s="29" t="s">
        <v>17</v>
      </c>
      <c r="C9" s="9">
        <f>SUM(C8:C8)*'Fane 13. Nøgletal'!C16</f>
        <v>2032385.0188705139</v>
      </c>
      <c r="D9" s="8" t="s">
        <v>3</v>
      </c>
      <c r="E9" s="1"/>
    </row>
    <row r="10" spans="1:5" ht="15" customHeight="1" x14ac:dyDescent="0.25">
      <c r="A10" s="1"/>
      <c r="B10" s="29" t="s">
        <v>9</v>
      </c>
      <c r="C10" s="9">
        <f>-SUM(C8:C9)*'Fane 5. Individuelt eff. krav'!G9</f>
        <v>-543713.29910773551</v>
      </c>
      <c r="D10" s="8" t="s">
        <v>3</v>
      </c>
      <c r="E10" s="1"/>
    </row>
    <row r="11" spans="1:5" ht="15" customHeight="1" x14ac:dyDescent="0.25">
      <c r="A11" s="1"/>
      <c r="B11" s="29" t="s">
        <v>22</v>
      </c>
      <c r="C11" s="9">
        <f>-'Fane 4.1. Gen. krav - drift'!G54</f>
        <v>-253015.78686090227</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26388935.869418141</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f>
        <v>15315024.455615481</v>
      </c>
      <c r="D15" s="11" t="s">
        <v>3</v>
      </c>
      <c r="E15" s="1"/>
    </row>
    <row r="16" spans="1:5" x14ac:dyDescent="0.25">
      <c r="A16" s="1"/>
      <c r="B16" s="26" t="s">
        <v>117</v>
      </c>
      <c r="C16" s="53"/>
      <c r="D16" s="19"/>
      <c r="E16" s="1"/>
    </row>
    <row r="17" spans="1:5" ht="15" customHeight="1" x14ac:dyDescent="0.25">
      <c r="A17" s="1"/>
      <c r="B17" s="73" t="s">
        <v>118</v>
      </c>
      <c r="C17" s="10">
        <f>'Fane 7. Kontrol af ØR2022'!E33</f>
        <v>-18025</v>
      </c>
      <c r="D17" s="11" t="s">
        <v>3</v>
      </c>
      <c r="E17" s="1"/>
    </row>
    <row r="18" spans="1:5" x14ac:dyDescent="0.25">
      <c r="A18" s="1"/>
      <c r="B18" s="26" t="s">
        <v>138</v>
      </c>
      <c r="C18" s="53"/>
      <c r="D18" s="19"/>
      <c r="E18" s="1"/>
    </row>
    <row r="19" spans="1:5" x14ac:dyDescent="0.25">
      <c r="A19" s="1"/>
      <c r="B19" s="73" t="s">
        <v>139</v>
      </c>
      <c r="C19" s="10">
        <f>'Fane 8. Skattesagen'!G13</f>
        <v>0</v>
      </c>
      <c r="D19" s="11" t="s">
        <v>3</v>
      </c>
      <c r="E19" s="1"/>
    </row>
    <row r="20" spans="1:5" x14ac:dyDescent="0.25">
      <c r="A20" s="1"/>
      <c r="B20" s="52" t="s">
        <v>128</v>
      </c>
      <c r="C20" s="12">
        <f>SUM(C13,C15,C17,C19)</f>
        <v>41685935.32503362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WFa7WUjJ0UDSycE9GNkOQ/mw49e8H3qLDmLUpBbjl2WCECXqMxnrLX/YPH4glSyJZ4Elr6dBzPUIMVck2t9xQw==" saltValue="Z/cAE9seeVhqjaUNYuLpt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200</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142</v>
      </c>
      <c r="C8" s="7">
        <f>'Fane 2.2. Økonomisk ramme 2025'!C13</f>
        <v>26388935.869418141</v>
      </c>
      <c r="D8" s="8" t="s">
        <v>3</v>
      </c>
      <c r="E8" s="1"/>
    </row>
    <row r="9" spans="1:5" ht="15" customHeight="1" x14ac:dyDescent="0.25">
      <c r="A9" s="1"/>
      <c r="B9" s="29" t="s">
        <v>17</v>
      </c>
      <c r="C9" s="9">
        <f>SUM(C8:C8)*'Fane 13. Nøgletal'!C16</f>
        <v>2132226.0182489855</v>
      </c>
      <c r="D9" s="8" t="s">
        <v>3</v>
      </c>
      <c r="E9" s="1"/>
    </row>
    <row r="10" spans="1:5" ht="15" customHeight="1" x14ac:dyDescent="0.25">
      <c r="A10" s="1"/>
      <c r="B10" s="29" t="s">
        <v>9</v>
      </c>
      <c r="C10" s="9">
        <f>-SUM(C8:C9)*'Fane 5. Individuelt eff. krav'!G9</f>
        <v>-570423.2377533426</v>
      </c>
      <c r="D10" s="8" t="s">
        <v>3</v>
      </c>
      <c r="E10" s="1"/>
    </row>
    <row r="11" spans="1:5" ht="15" customHeight="1" x14ac:dyDescent="0.25">
      <c r="A11" s="1"/>
      <c r="B11" s="29" t="s">
        <v>22</v>
      </c>
      <c r="C11" s="9">
        <f>-'Fane 4.1. Gen. krav - drift'!G59</f>
        <v>-267990.27319047792</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27682748.376723304</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Nøgletal'!C16)^2</f>
        <v>16552478.431629213</v>
      </c>
      <c r="D15" s="11" t="s">
        <v>3</v>
      </c>
      <c r="E15" s="1"/>
    </row>
    <row r="16" spans="1:5" x14ac:dyDescent="0.25">
      <c r="A16" s="1"/>
      <c r="B16" s="52" t="s">
        <v>117</v>
      </c>
      <c r="C16" s="53"/>
      <c r="D16" s="19"/>
      <c r="E16" s="1"/>
    </row>
    <row r="17" spans="1:5" x14ac:dyDescent="0.25">
      <c r="A17" s="1"/>
      <c r="B17" s="54" t="s">
        <v>118</v>
      </c>
      <c r="C17" s="10">
        <f>'Fane 7. Kontrol af ØR2022'!E33</f>
        <v>-18025</v>
      </c>
      <c r="D17" s="11" t="s">
        <v>3</v>
      </c>
      <c r="E17" s="1"/>
    </row>
    <row r="18" spans="1:5" ht="15" customHeight="1" x14ac:dyDescent="0.25">
      <c r="A18" s="1"/>
      <c r="B18" s="26" t="s">
        <v>138</v>
      </c>
      <c r="C18" s="53"/>
      <c r="D18" s="19"/>
      <c r="E18" s="1"/>
    </row>
    <row r="19" spans="1:5" ht="15" customHeight="1" x14ac:dyDescent="0.25">
      <c r="A19" s="1"/>
      <c r="B19" s="73" t="s">
        <v>139</v>
      </c>
      <c r="C19" s="10">
        <f>'Fane 8. Skattesagen'!G14</f>
        <v>0</v>
      </c>
      <c r="D19" s="11" t="s">
        <v>3</v>
      </c>
      <c r="E19" s="1"/>
    </row>
    <row r="20" spans="1:5" x14ac:dyDescent="0.25">
      <c r="A20" s="1"/>
      <c r="B20" s="52" t="s">
        <v>143</v>
      </c>
      <c r="C20" s="12">
        <f>SUM(C13,C15,C17,C19)</f>
        <v>44217201.808352515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8ahazVZa21JP1/8GCxiw9StRIVBFURD7x0I4kUC0kn+/box6KnLoT6CogY6B+2aJwtG4pHtgzhUFuM2/bWacjg==" saltValue="zLHvDv4+Y6cnL9Ghx70h/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204</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203</v>
      </c>
      <c r="C8" s="7">
        <f>'Fane 2.3. Økonomisk ramme 2026'!C13</f>
        <v>27682748.376723304</v>
      </c>
      <c r="D8" s="8" t="s">
        <v>3</v>
      </c>
      <c r="E8" s="1"/>
    </row>
    <row r="9" spans="1:5" ht="15" customHeight="1" x14ac:dyDescent="0.25">
      <c r="A9" s="1"/>
      <c r="B9" s="29" t="s">
        <v>17</v>
      </c>
      <c r="C9" s="9">
        <f>SUM(C8:C8)*'Fane 13. Nøgletal'!C16</f>
        <v>2236766.0688392427</v>
      </c>
      <c r="D9" s="8" t="s">
        <v>3</v>
      </c>
      <c r="E9" s="1"/>
    </row>
    <row r="10" spans="1:5" ht="15" customHeight="1" x14ac:dyDescent="0.25">
      <c r="A10" s="1"/>
      <c r="B10" s="29" t="s">
        <v>9</v>
      </c>
      <c r="C10" s="9">
        <f>-SUM(C8:C9)*'Fane 5. Individuelt eff. krav'!G9</f>
        <v>-598390.288911251</v>
      </c>
      <c r="D10" s="8" t="s">
        <v>3</v>
      </c>
      <c r="E10" s="1"/>
    </row>
    <row r="11" spans="1:5" ht="15" customHeight="1" x14ac:dyDescent="0.25">
      <c r="A11" s="1"/>
      <c r="B11" s="29" t="s">
        <v>22</v>
      </c>
      <c r="C11" s="9">
        <f>-'Fane 4.1. Gen. krav - drift'!G64</f>
        <v>-283851.00951898313</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29037273.147132315</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Nøgletal'!C16)^3</f>
        <v>17889918.688904852</v>
      </c>
      <c r="D15" s="11" t="s">
        <v>3</v>
      </c>
      <c r="E15" s="1"/>
    </row>
    <row r="16" spans="1:5" x14ac:dyDescent="0.25">
      <c r="A16" s="1"/>
      <c r="B16" s="52" t="s">
        <v>117</v>
      </c>
      <c r="C16" s="53"/>
      <c r="D16" s="19"/>
      <c r="E16" s="1"/>
    </row>
    <row r="17" spans="1:5" x14ac:dyDescent="0.25">
      <c r="A17" s="1"/>
      <c r="B17" s="54" t="s">
        <v>118</v>
      </c>
      <c r="C17" s="10">
        <v>0</v>
      </c>
      <c r="D17" s="11" t="s">
        <v>3</v>
      </c>
      <c r="E17" s="1"/>
    </row>
    <row r="18" spans="1:5" x14ac:dyDescent="0.25">
      <c r="A18" s="1"/>
      <c r="B18" s="26" t="s">
        <v>138</v>
      </c>
      <c r="C18" s="53"/>
      <c r="D18" s="19"/>
      <c r="E18" s="1"/>
    </row>
    <row r="19" spans="1:5" x14ac:dyDescent="0.25">
      <c r="A19" s="1"/>
      <c r="B19" s="73" t="s">
        <v>139</v>
      </c>
      <c r="C19" s="10">
        <f>'Fane 8. Skattesagen'!G15</f>
        <v>0</v>
      </c>
      <c r="D19" s="11" t="s">
        <v>3</v>
      </c>
      <c r="E19" s="1"/>
    </row>
    <row r="20" spans="1:5" x14ac:dyDescent="0.25">
      <c r="A20" s="1"/>
      <c r="B20" s="52" t="s">
        <v>205</v>
      </c>
      <c r="C20" s="12">
        <f>SUM(C13,C15,C17,C19)</f>
        <v>46927191.836037166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qVOX1phWtpbO3RLi21R8K8U0+g3BYl/BGVch5YNCyrXDa7gU5Yav9PqiuMh2AXrOR4jUk/Qyr/QgC8BhjtNQUA==" saltValue="/M1igQuTorGh9cSRG7Bmz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0" t="s">
        <v>201</v>
      </c>
      <c r="C3" s="100"/>
      <c r="D3" s="100"/>
      <c r="E3" s="1"/>
    </row>
    <row r="4" spans="1:5"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52" t="s">
        <v>202</v>
      </c>
      <c r="C7" s="53"/>
      <c r="D7" s="19"/>
      <c r="E7" s="1"/>
    </row>
    <row r="8" spans="1:5" x14ac:dyDescent="0.25">
      <c r="A8" s="1"/>
      <c r="B8" s="55" t="s">
        <v>108</v>
      </c>
      <c r="C8" s="7">
        <v>22769005.419382606</v>
      </c>
      <c r="D8" s="8" t="s">
        <v>3</v>
      </c>
      <c r="E8" s="1"/>
    </row>
    <row r="9" spans="1:5" x14ac:dyDescent="0.25">
      <c r="A9" s="1"/>
      <c r="B9" s="24" t="s">
        <v>33</v>
      </c>
      <c r="C9" s="7">
        <v>133904.11560000002</v>
      </c>
      <c r="D9" s="8" t="s">
        <v>3</v>
      </c>
      <c r="E9" s="1"/>
    </row>
    <row r="10" spans="1:5" x14ac:dyDescent="0.25">
      <c r="A10" s="1"/>
      <c r="B10" s="24" t="s">
        <v>34</v>
      </c>
      <c r="C10" s="9">
        <v>2224.4688000000001</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815422.77053466078</v>
      </c>
      <c r="D15" s="8" t="s">
        <v>3</v>
      </c>
      <c r="E15" s="1"/>
    </row>
    <row r="16" spans="1:5" x14ac:dyDescent="0.25">
      <c r="A16" s="1"/>
      <c r="B16" s="24" t="s">
        <v>9</v>
      </c>
      <c r="C16" s="9">
        <v>-474411.13548634539</v>
      </c>
      <c r="D16" s="8" t="s">
        <v>3</v>
      </c>
      <c r="E16" s="1"/>
    </row>
    <row r="17" spans="1:5" x14ac:dyDescent="0.25">
      <c r="A17" s="1"/>
      <c r="B17" s="24" t="s">
        <v>22</v>
      </c>
      <c r="C17" s="9">
        <v>-223615.61700812925</v>
      </c>
      <c r="D17" s="8" t="s">
        <v>3</v>
      </c>
      <c r="E17" s="1"/>
    </row>
    <row r="18" spans="1:5" x14ac:dyDescent="0.25">
      <c r="A18" s="1"/>
      <c r="B18" s="24" t="s">
        <v>23</v>
      </c>
      <c r="C18" s="9">
        <v>0</v>
      </c>
      <c r="D18" s="8" t="s">
        <v>3</v>
      </c>
      <c r="E18" s="1"/>
    </row>
    <row r="19" spans="1:5" x14ac:dyDescent="0.25">
      <c r="A19" s="1"/>
      <c r="B19" s="74" t="s">
        <v>19</v>
      </c>
      <c r="C19" s="10">
        <v>23022530.021822792</v>
      </c>
      <c r="D19" s="11" t="s">
        <v>3</v>
      </c>
      <c r="E19" s="1"/>
    </row>
    <row r="20" spans="1:5" x14ac:dyDescent="0.25">
      <c r="A20" s="1"/>
      <c r="B20" s="52" t="s">
        <v>11</v>
      </c>
      <c r="C20" s="53"/>
      <c r="D20" s="19"/>
      <c r="E20" s="1"/>
    </row>
    <row r="21" spans="1:5" x14ac:dyDescent="0.25">
      <c r="A21" s="1"/>
      <c r="B21" s="54" t="s">
        <v>11</v>
      </c>
      <c r="C21" s="10">
        <v>12978346.858097762</v>
      </c>
      <c r="D21" s="11" t="s">
        <v>3</v>
      </c>
      <c r="E21" s="1"/>
    </row>
    <row r="22" spans="1:5" x14ac:dyDescent="0.25">
      <c r="A22" s="1"/>
      <c r="B22" s="52" t="s">
        <v>75</v>
      </c>
      <c r="C22" s="53"/>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4" t="s">
        <v>76</v>
      </c>
      <c r="C27" s="56">
        <v>0</v>
      </c>
      <c r="D27" s="11" t="s">
        <v>3</v>
      </c>
      <c r="E27" s="1"/>
    </row>
    <row r="28" spans="1:5" x14ac:dyDescent="0.25">
      <c r="A28" s="1"/>
      <c r="B28" s="26" t="s">
        <v>117</v>
      </c>
      <c r="C28" s="53"/>
      <c r="D28" s="19"/>
      <c r="E28" s="1"/>
    </row>
    <row r="29" spans="1:5" x14ac:dyDescent="0.25">
      <c r="A29" s="1"/>
      <c r="B29" s="73" t="s">
        <v>118</v>
      </c>
      <c r="C29" s="10">
        <v>-786617.36345561966</v>
      </c>
      <c r="D29" s="11" t="s">
        <v>3</v>
      </c>
      <c r="E29" s="1"/>
    </row>
    <row r="30" spans="1:5" x14ac:dyDescent="0.25">
      <c r="A30" s="1"/>
      <c r="B30" s="26" t="s">
        <v>138</v>
      </c>
      <c r="C30" s="53"/>
      <c r="D30" s="19"/>
      <c r="E30" s="1"/>
    </row>
    <row r="31" spans="1:5" x14ac:dyDescent="0.25">
      <c r="A31" s="1"/>
      <c r="B31" s="73" t="s">
        <v>139</v>
      </c>
      <c r="C31" s="10">
        <v>0</v>
      </c>
      <c r="D31" s="11" t="s">
        <v>3</v>
      </c>
      <c r="E31" s="1"/>
    </row>
    <row r="32" spans="1:5" x14ac:dyDescent="0.25">
      <c r="A32" s="1"/>
      <c r="B32" s="52" t="s">
        <v>238</v>
      </c>
      <c r="C32" s="33">
        <v>35214259.516464934</v>
      </c>
      <c r="D32" s="19" t="s">
        <v>3</v>
      </c>
      <c r="E32" s="1"/>
    </row>
    <row r="33" spans="1:5" ht="30" customHeight="1" x14ac:dyDescent="0.25">
      <c r="A33" s="1"/>
      <c r="B33" s="99" t="s">
        <v>239</v>
      </c>
      <c r="C33" s="99"/>
      <c r="D33" s="9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5DEbTlZf04+Vovoy+lvlZDJZK1FUQHKWACtetGPK5/q+6MPaP9WBSvx214fhdJq7Y9x7MCrfsoZDRnhLjS1THw==" saltValue="wqcejQjCZ/4dAEHPYr8JNQ=="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0" t="s">
        <v>90</v>
      </c>
      <c r="C1" s="100"/>
      <c r="D1" s="100"/>
      <c r="E1" s="100"/>
      <c r="F1" s="100"/>
      <c r="G1" s="100"/>
      <c r="H1" s="100"/>
      <c r="I1" s="1"/>
    </row>
    <row r="2" spans="1:9" ht="15" customHeight="1" x14ac:dyDescent="0.25">
      <c r="A2" s="1"/>
      <c r="B2" s="100"/>
      <c r="C2" s="100"/>
      <c r="D2" s="100"/>
      <c r="E2" s="100"/>
      <c r="F2" s="100"/>
      <c r="G2" s="100"/>
      <c r="H2" s="100"/>
      <c r="I2" s="1"/>
    </row>
    <row r="3" spans="1:9" ht="15" customHeight="1" x14ac:dyDescent="0.25">
      <c r="A3" s="1"/>
      <c r="B3" s="100"/>
      <c r="C3" s="100"/>
      <c r="D3" s="100"/>
      <c r="E3" s="100"/>
      <c r="F3" s="100"/>
      <c r="G3" s="100"/>
      <c r="H3" s="100"/>
      <c r="I3" s="1"/>
    </row>
    <row r="4" spans="1:9" x14ac:dyDescent="0.25">
      <c r="A4" s="1"/>
      <c r="B4" s="107" t="s">
        <v>44</v>
      </c>
      <c r="C4" s="108"/>
      <c r="D4" s="108"/>
      <c r="E4" s="108"/>
      <c r="F4" s="108"/>
      <c r="G4" s="108"/>
      <c r="H4" s="109"/>
      <c r="I4" s="1"/>
    </row>
    <row r="5" spans="1:9" x14ac:dyDescent="0.25">
      <c r="A5" s="1"/>
      <c r="B5" s="101" t="s">
        <v>36</v>
      </c>
      <c r="C5" s="102"/>
      <c r="D5" s="102"/>
      <c r="E5" s="102"/>
      <c r="F5" s="103"/>
      <c r="G5" s="47">
        <v>9169487.8792452477</v>
      </c>
      <c r="H5" s="14" t="s">
        <v>3</v>
      </c>
      <c r="I5" s="1"/>
    </row>
    <row r="6" spans="1:9" x14ac:dyDescent="0.25">
      <c r="A6" s="1"/>
      <c r="B6" s="101" t="s">
        <v>37</v>
      </c>
      <c r="C6" s="102"/>
      <c r="D6" s="102"/>
      <c r="E6" s="102"/>
      <c r="F6" s="103"/>
      <c r="G6" s="22">
        <f>G5*'Fane 13. Nøgletal'!C33</f>
        <v>183389.75758490496</v>
      </c>
      <c r="H6" s="14" t="s">
        <v>3</v>
      </c>
      <c r="I6" s="1"/>
    </row>
    <row r="7" spans="1:9" x14ac:dyDescent="0.25">
      <c r="A7" s="1"/>
      <c r="B7" s="52"/>
      <c r="C7" s="53"/>
      <c r="D7" s="53"/>
      <c r="E7" s="53"/>
      <c r="F7" s="53"/>
      <c r="G7" s="35"/>
      <c r="H7" s="19"/>
      <c r="I7" s="1"/>
    </row>
    <row r="8" spans="1:9" x14ac:dyDescent="0.25">
      <c r="A8" s="1"/>
      <c r="B8" s="1"/>
      <c r="C8" s="1"/>
      <c r="D8" s="1"/>
      <c r="E8" s="1"/>
      <c r="F8" s="1"/>
      <c r="G8" s="36"/>
      <c r="H8" s="1"/>
      <c r="I8" s="1"/>
    </row>
    <row r="9" spans="1:9" x14ac:dyDescent="0.25">
      <c r="A9" s="1"/>
      <c r="B9" s="107" t="s">
        <v>45</v>
      </c>
      <c r="C9" s="108"/>
      <c r="D9" s="108"/>
      <c r="E9" s="108"/>
      <c r="F9" s="108"/>
      <c r="G9" s="108"/>
      <c r="H9" s="109"/>
      <c r="I9" s="1"/>
    </row>
    <row r="10" spans="1:9" x14ac:dyDescent="0.25">
      <c r="A10" s="1"/>
      <c r="B10" s="101" t="s">
        <v>38</v>
      </c>
      <c r="C10" s="102"/>
      <c r="D10" s="102"/>
      <c r="E10" s="102"/>
      <c r="F10" s="103"/>
      <c r="G10" s="22">
        <f>(G5-G6)*(1+'Fane 13. Nøgletal'!C9)</f>
        <v>9100221.5678054281</v>
      </c>
      <c r="H10" s="14" t="s">
        <v>3</v>
      </c>
      <c r="I10" s="1"/>
    </row>
    <row r="11" spans="1:9" x14ac:dyDescent="0.25">
      <c r="A11" s="1"/>
      <c r="B11" s="104" t="s">
        <v>228</v>
      </c>
      <c r="C11" s="105"/>
      <c r="D11" s="105"/>
      <c r="E11" s="105"/>
      <c r="F11" s="106"/>
      <c r="G11" s="47">
        <v>0</v>
      </c>
      <c r="H11" s="14" t="s">
        <v>3</v>
      </c>
      <c r="I11" s="1"/>
    </row>
    <row r="12" spans="1:9" x14ac:dyDescent="0.25">
      <c r="A12" s="1"/>
      <c r="B12" s="101" t="s">
        <v>39</v>
      </c>
      <c r="C12" s="102"/>
      <c r="D12" s="102"/>
      <c r="E12" s="102"/>
      <c r="F12" s="103"/>
      <c r="G12" s="22">
        <f>(G10+G11)*'Fane 13. Nøgletal'!C33</f>
        <v>182004.43135610857</v>
      </c>
      <c r="H12" s="14" t="s">
        <v>3</v>
      </c>
      <c r="I12" s="1"/>
    </row>
    <row r="13" spans="1:9" x14ac:dyDescent="0.25">
      <c r="A13" s="1"/>
      <c r="B13" s="52"/>
      <c r="C13" s="53"/>
      <c r="D13" s="53"/>
      <c r="E13" s="53"/>
      <c r="F13" s="53"/>
      <c r="G13" s="35"/>
      <c r="H13" s="19"/>
      <c r="I13" s="1"/>
    </row>
    <row r="14" spans="1:9" x14ac:dyDescent="0.25">
      <c r="A14" s="1"/>
      <c r="B14" s="1"/>
      <c r="C14" s="1"/>
      <c r="D14" s="1"/>
      <c r="E14" s="1"/>
      <c r="F14" s="1"/>
      <c r="G14" s="36"/>
      <c r="H14" s="1"/>
      <c r="I14" s="1"/>
    </row>
    <row r="15" spans="1:9" x14ac:dyDescent="0.25">
      <c r="A15" s="1"/>
      <c r="B15" s="107" t="s">
        <v>46</v>
      </c>
      <c r="C15" s="108"/>
      <c r="D15" s="108"/>
      <c r="E15" s="108"/>
      <c r="F15" s="108"/>
      <c r="G15" s="108"/>
      <c r="H15" s="109"/>
      <c r="I15" s="1"/>
    </row>
    <row r="16" spans="1:9" x14ac:dyDescent="0.25">
      <c r="A16" s="1"/>
      <c r="B16" s="101" t="s">
        <v>40</v>
      </c>
      <c r="C16" s="102"/>
      <c r="D16" s="102"/>
      <c r="E16" s="102"/>
      <c r="F16" s="103"/>
      <c r="G16" s="22">
        <f>(G10+G11-G12)*(1+'Fane 13. Nøgletal'!C11)</f>
        <v>9068935.0060553122</v>
      </c>
      <c r="H16" s="14" t="s">
        <v>3</v>
      </c>
      <c r="I16" s="1"/>
    </row>
    <row r="17" spans="1:9" x14ac:dyDescent="0.25">
      <c r="A17" s="1"/>
      <c r="B17" s="101" t="s">
        <v>100</v>
      </c>
      <c r="C17" s="102"/>
      <c r="D17" s="102"/>
      <c r="E17" s="102"/>
      <c r="F17" s="103"/>
      <c r="G17" s="47">
        <v>-16691.825071318628</v>
      </c>
      <c r="H17" s="14" t="s">
        <v>3</v>
      </c>
      <c r="I17" s="1"/>
    </row>
    <row r="18" spans="1:9" x14ac:dyDescent="0.25">
      <c r="A18" s="1"/>
      <c r="B18" s="104" t="s">
        <v>229</v>
      </c>
      <c r="C18" s="105"/>
      <c r="D18" s="105"/>
      <c r="E18" s="105"/>
      <c r="F18" s="106"/>
      <c r="G18" s="47">
        <v>0</v>
      </c>
      <c r="H18" s="14" t="s">
        <v>3</v>
      </c>
      <c r="I18" s="1"/>
    </row>
    <row r="19" spans="1:9" x14ac:dyDescent="0.25">
      <c r="A19" s="1"/>
      <c r="B19" s="101" t="s">
        <v>41</v>
      </c>
      <c r="C19" s="102"/>
      <c r="D19" s="102"/>
      <c r="E19" s="102"/>
      <c r="F19" s="103"/>
      <c r="G19" s="22">
        <f>SUM(G16:G18)*'Fane 13. Nøgletal'!C33</f>
        <v>181044.86361967988</v>
      </c>
      <c r="H19" s="14" t="s">
        <v>3</v>
      </c>
      <c r="I19" s="1"/>
    </row>
    <row r="20" spans="1:9" x14ac:dyDescent="0.25">
      <c r="A20" s="1"/>
      <c r="B20" s="52"/>
      <c r="C20" s="53"/>
      <c r="D20" s="53"/>
      <c r="E20" s="53"/>
      <c r="F20" s="53"/>
      <c r="G20" s="35"/>
      <c r="H20" s="19"/>
      <c r="I20" s="1"/>
    </row>
    <row r="21" spans="1:9" x14ac:dyDescent="0.25">
      <c r="A21" s="1"/>
      <c r="B21" s="1"/>
      <c r="C21" s="1"/>
      <c r="D21" s="1"/>
      <c r="E21" s="1"/>
      <c r="F21" s="1"/>
      <c r="G21" s="36"/>
      <c r="H21" s="1"/>
      <c r="I21" s="1"/>
    </row>
    <row r="22" spans="1:9" x14ac:dyDescent="0.25">
      <c r="A22" s="1"/>
      <c r="B22" s="107" t="s">
        <v>47</v>
      </c>
      <c r="C22" s="108"/>
      <c r="D22" s="108"/>
      <c r="E22" s="108"/>
      <c r="F22" s="108"/>
      <c r="G22" s="108"/>
      <c r="H22" s="109"/>
      <c r="I22" s="1"/>
    </row>
    <row r="23" spans="1:9" x14ac:dyDescent="0.25">
      <c r="A23" s="1"/>
      <c r="B23" s="101" t="s">
        <v>42</v>
      </c>
      <c r="C23" s="102"/>
      <c r="D23" s="102"/>
      <c r="E23" s="102"/>
      <c r="F23" s="103"/>
      <c r="G23" s="22">
        <f>(SUM(G16:G18)-G19)*(1+'Fane 13. Nøgletal'!C11)</f>
        <v>9021121.5689277705</v>
      </c>
      <c r="H23" s="14" t="s">
        <v>3</v>
      </c>
      <c r="I23" s="1"/>
    </row>
    <row r="24" spans="1:9" x14ac:dyDescent="0.25">
      <c r="A24" s="1"/>
      <c r="B24" s="104" t="s">
        <v>230</v>
      </c>
      <c r="C24" s="105"/>
      <c r="D24" s="105"/>
      <c r="E24" s="105"/>
      <c r="F24" s="106"/>
      <c r="G24" s="47">
        <v>133510.87033218</v>
      </c>
      <c r="H24" s="14" t="s">
        <v>3</v>
      </c>
      <c r="I24" s="1"/>
    </row>
    <row r="25" spans="1:9" x14ac:dyDescent="0.25">
      <c r="A25" s="1"/>
      <c r="B25" s="101" t="s">
        <v>43</v>
      </c>
      <c r="C25" s="102"/>
      <c r="D25" s="102"/>
      <c r="E25" s="102"/>
      <c r="F25" s="103"/>
      <c r="G25" s="22">
        <f>(G23+G24)*'Fane 13. Nøgletal'!C33</f>
        <v>183092.64878519901</v>
      </c>
      <c r="H25" s="14" t="s">
        <v>3</v>
      </c>
      <c r="I25" s="1"/>
    </row>
    <row r="26" spans="1:9" x14ac:dyDescent="0.25">
      <c r="A26" s="1"/>
      <c r="B26" s="52"/>
      <c r="C26" s="53"/>
      <c r="D26" s="53"/>
      <c r="E26" s="53"/>
      <c r="F26" s="53"/>
      <c r="G26" s="35"/>
      <c r="H26" s="19"/>
      <c r="I26" s="1"/>
    </row>
    <row r="27" spans="1:9" x14ac:dyDescent="0.25">
      <c r="A27" s="1"/>
      <c r="B27" s="1"/>
      <c r="C27" s="1"/>
      <c r="D27" s="1"/>
      <c r="E27" s="1"/>
      <c r="F27" s="1"/>
      <c r="G27" s="36"/>
      <c r="H27" s="1"/>
      <c r="I27" s="1"/>
    </row>
    <row r="28" spans="1:9" x14ac:dyDescent="0.25">
      <c r="A28" s="1"/>
      <c r="B28" s="107" t="s">
        <v>121</v>
      </c>
      <c r="C28" s="108"/>
      <c r="D28" s="108"/>
      <c r="E28" s="108"/>
      <c r="F28" s="108"/>
      <c r="G28" s="108"/>
      <c r="H28" s="109"/>
      <c r="I28" s="1"/>
    </row>
    <row r="29" spans="1:9" x14ac:dyDescent="0.25">
      <c r="A29" s="1"/>
      <c r="B29" s="101" t="s">
        <v>50</v>
      </c>
      <c r="C29" s="102"/>
      <c r="D29" s="102"/>
      <c r="E29" s="102"/>
      <c r="F29" s="103"/>
      <c r="G29" s="22">
        <f>(G23+G24-G25)*(1+'Fane 13. Nøgletal'!C13)</f>
        <v>9080992.5759185441</v>
      </c>
      <c r="H29" s="14" t="s">
        <v>3</v>
      </c>
      <c r="I29" s="1"/>
    </row>
    <row r="30" spans="1:9" x14ac:dyDescent="0.25">
      <c r="A30" s="1"/>
      <c r="B30" s="101" t="s">
        <v>231</v>
      </c>
      <c r="C30" s="102"/>
      <c r="D30" s="102"/>
      <c r="E30" s="102"/>
      <c r="F30" s="103"/>
      <c r="G30" s="47">
        <v>769289.66835587996</v>
      </c>
      <c r="H30" s="14" t="s">
        <v>3</v>
      </c>
      <c r="I30" s="1"/>
    </row>
    <row r="31" spans="1:9" x14ac:dyDescent="0.25">
      <c r="A31" s="1"/>
      <c r="B31" s="101" t="s">
        <v>115</v>
      </c>
      <c r="C31" s="102"/>
      <c r="D31" s="102"/>
      <c r="E31" s="102"/>
      <c r="F31" s="103"/>
      <c r="G31" s="22">
        <f>(G29+G30)*'Fane 13. Nøgletal'!C33</f>
        <v>197005.64488548849</v>
      </c>
      <c r="H31" s="14" t="s">
        <v>3</v>
      </c>
      <c r="I31" s="1"/>
    </row>
    <row r="32" spans="1:9" x14ac:dyDescent="0.25">
      <c r="A32" s="1"/>
      <c r="B32" s="52"/>
      <c r="C32" s="53"/>
      <c r="D32" s="53"/>
      <c r="E32" s="53"/>
      <c r="F32" s="53"/>
      <c r="G32" s="35"/>
      <c r="H32" s="19"/>
      <c r="I32" s="1"/>
    </row>
    <row r="33" spans="1:9" x14ac:dyDescent="0.25">
      <c r="A33" s="1"/>
      <c r="B33" s="1"/>
      <c r="C33" s="1"/>
      <c r="D33" s="1"/>
      <c r="E33" s="1"/>
      <c r="F33" s="1"/>
      <c r="G33" s="36"/>
      <c r="H33" s="1"/>
      <c r="I33" s="1"/>
    </row>
    <row r="34" spans="1:9" x14ac:dyDescent="0.25">
      <c r="A34" s="1"/>
      <c r="B34" s="107" t="s">
        <v>122</v>
      </c>
      <c r="C34" s="108"/>
      <c r="D34" s="108"/>
      <c r="E34" s="108"/>
      <c r="F34" s="108"/>
      <c r="G34" s="108"/>
      <c r="H34" s="109"/>
      <c r="I34" s="1"/>
    </row>
    <row r="35" spans="1:9" x14ac:dyDescent="0.25">
      <c r="A35" s="1"/>
      <c r="B35" s="101" t="s">
        <v>69</v>
      </c>
      <c r="C35" s="102"/>
      <c r="D35" s="102"/>
      <c r="E35" s="102"/>
      <c r="F35" s="103"/>
      <c r="G35" s="22">
        <f>(G29+G30-G31)*(1+'Fane 13. Nøgletal'!C13)</f>
        <v>9771046.5739014819</v>
      </c>
      <c r="H35" s="14" t="s">
        <v>3</v>
      </c>
      <c r="I35" s="1"/>
    </row>
    <row r="36" spans="1:9" x14ac:dyDescent="0.25">
      <c r="A36" s="1"/>
      <c r="B36" s="101" t="s">
        <v>232</v>
      </c>
      <c r="C36" s="102"/>
      <c r="D36" s="102"/>
      <c r="E36" s="102"/>
      <c r="F36" s="103"/>
      <c r="G36" s="47">
        <v>1109079.85215844</v>
      </c>
      <c r="H36" s="14" t="s">
        <v>3</v>
      </c>
      <c r="I36" s="1"/>
    </row>
    <row r="37" spans="1:9" x14ac:dyDescent="0.25">
      <c r="A37" s="1"/>
      <c r="B37" s="101" t="s">
        <v>123</v>
      </c>
      <c r="C37" s="102"/>
      <c r="D37" s="102"/>
      <c r="E37" s="102"/>
      <c r="F37" s="103"/>
      <c r="G37" s="22">
        <f>(G35+G36)*'Fane 13. Nøgletal'!C33</f>
        <v>217602.52852119846</v>
      </c>
      <c r="H37" s="14" t="s">
        <v>3</v>
      </c>
      <c r="I37" s="1"/>
    </row>
    <row r="38" spans="1:9" x14ac:dyDescent="0.25">
      <c r="A38" s="1"/>
      <c r="B38" s="52"/>
      <c r="C38" s="53"/>
      <c r="D38" s="53"/>
      <c r="E38" s="53"/>
      <c r="F38" s="53"/>
      <c r="G38" s="35"/>
      <c r="H38" s="19"/>
      <c r="I38" s="1"/>
    </row>
    <row r="39" spans="1:9" x14ac:dyDescent="0.25">
      <c r="A39" s="1"/>
      <c r="B39" s="1"/>
      <c r="C39" s="1"/>
      <c r="D39" s="1"/>
      <c r="E39" s="1"/>
      <c r="F39" s="1"/>
      <c r="G39" s="36"/>
      <c r="H39" s="1"/>
      <c r="I39" s="1"/>
    </row>
    <row r="40" spans="1:9" x14ac:dyDescent="0.25">
      <c r="A40" s="1"/>
      <c r="B40" s="107" t="s">
        <v>157</v>
      </c>
      <c r="C40" s="108"/>
      <c r="D40" s="108"/>
      <c r="E40" s="108"/>
      <c r="F40" s="108"/>
      <c r="G40" s="108"/>
      <c r="H40" s="109"/>
      <c r="I40" s="1"/>
    </row>
    <row r="41" spans="1:9" x14ac:dyDescent="0.25">
      <c r="A41" s="1"/>
      <c r="B41" s="101" t="s">
        <v>68</v>
      </c>
      <c r="C41" s="102"/>
      <c r="D41" s="102"/>
      <c r="E41" s="102"/>
      <c r="F41" s="103"/>
      <c r="G41" s="22">
        <f>(G35+G36-G37)*(1+'Fane 13. Nøgletal'!C15)</f>
        <v>11042109.748291103</v>
      </c>
      <c r="H41" s="14" t="s">
        <v>3</v>
      </c>
      <c r="I41" s="1"/>
    </row>
    <row r="42" spans="1:9" x14ac:dyDescent="0.25">
      <c r="A42" s="1"/>
      <c r="B42" s="101" t="s">
        <v>156</v>
      </c>
      <c r="C42" s="102"/>
      <c r="D42" s="102"/>
      <c r="E42" s="102"/>
      <c r="F42" s="103"/>
      <c r="G42" s="22">
        <v>138671.10211536003</v>
      </c>
      <c r="H42" s="14" t="s">
        <v>3</v>
      </c>
      <c r="I42" s="1"/>
    </row>
    <row r="43" spans="1:9" x14ac:dyDescent="0.25">
      <c r="A43" s="1"/>
      <c r="B43" s="101" t="s">
        <v>166</v>
      </c>
      <c r="C43" s="102"/>
      <c r="D43" s="102"/>
      <c r="E43" s="102"/>
      <c r="F43" s="103"/>
      <c r="G43" s="22">
        <f>(G41+G42)*'Fane 13. Nøgletal'!C33</f>
        <v>223615.61700812925</v>
      </c>
      <c r="H43" s="14" t="s">
        <v>3</v>
      </c>
      <c r="I43" s="1"/>
    </row>
    <row r="44" spans="1:9" x14ac:dyDescent="0.25">
      <c r="A44" s="1"/>
      <c r="B44" s="52"/>
      <c r="C44" s="53"/>
      <c r="D44" s="53"/>
      <c r="E44" s="53"/>
      <c r="F44" s="53"/>
      <c r="G44" s="35"/>
      <c r="H44" s="19"/>
      <c r="I44" s="1"/>
    </row>
    <row r="45" spans="1:9" x14ac:dyDescent="0.25">
      <c r="A45" s="1"/>
      <c r="B45" s="1"/>
      <c r="C45" s="1"/>
      <c r="D45" s="1"/>
      <c r="E45" s="1"/>
      <c r="F45" s="1"/>
      <c r="G45" s="36"/>
      <c r="H45" s="1"/>
      <c r="I45" s="1"/>
    </row>
    <row r="46" spans="1:9" x14ac:dyDescent="0.25">
      <c r="A46" s="1"/>
      <c r="B46" s="107" t="s">
        <v>158</v>
      </c>
      <c r="C46" s="108"/>
      <c r="D46" s="108"/>
      <c r="E46" s="108"/>
      <c r="F46" s="108"/>
      <c r="G46" s="108"/>
      <c r="H46" s="109"/>
      <c r="I46" s="1"/>
    </row>
    <row r="47" spans="1:9" x14ac:dyDescent="0.25">
      <c r="A47" s="1"/>
      <c r="B47" s="101" t="s">
        <v>112</v>
      </c>
      <c r="C47" s="102"/>
      <c r="D47" s="102"/>
      <c r="E47" s="102"/>
      <c r="F47" s="103"/>
      <c r="G47" s="22">
        <f>(G41+G42-G43)*(1+'Fane 13. Nøgletal'!C15)</f>
        <v>11347240.315707315</v>
      </c>
      <c r="H47" s="14" t="s">
        <v>3</v>
      </c>
      <c r="I47" s="1"/>
    </row>
    <row r="48" spans="1:9" x14ac:dyDescent="0.25">
      <c r="A48" s="1"/>
      <c r="B48" s="101" t="s">
        <v>206</v>
      </c>
      <c r="C48" s="102"/>
      <c r="D48" s="102"/>
      <c r="E48" s="102"/>
      <c r="F48" s="103"/>
      <c r="G48" s="22">
        <f>('Fane 2.1. Økonomisk ramme 2024'!C9+'Fane 2.1. Økonomisk ramme 2024'!C11+'Fane 2.1. Økonomisk ramme 2024'!C13)*(1+'Fane 13. Nøgletal'!C16)</f>
        <v>596661.16226545919</v>
      </c>
      <c r="H48" s="14" t="s">
        <v>3</v>
      </c>
      <c r="I48" s="1"/>
    </row>
    <row r="49" spans="1:9" x14ac:dyDescent="0.25">
      <c r="A49" s="1"/>
      <c r="B49" s="101" t="s">
        <v>167</v>
      </c>
      <c r="C49" s="102"/>
      <c r="D49" s="102"/>
      <c r="E49" s="102"/>
      <c r="F49" s="103"/>
      <c r="G49" s="22">
        <f>G47*'Fane 13. Nøgletal'!C33+G48*'Fane 13. Nøgletal'!C33</f>
        <v>238878.02955945546</v>
      </c>
      <c r="H49" s="14" t="s">
        <v>3</v>
      </c>
      <c r="I49" s="1"/>
    </row>
    <row r="50" spans="1:9" x14ac:dyDescent="0.25">
      <c r="A50" s="1"/>
      <c r="B50" s="52"/>
      <c r="C50" s="53"/>
      <c r="D50" s="53"/>
      <c r="E50" s="53"/>
      <c r="F50" s="53"/>
      <c r="G50" s="35"/>
      <c r="H50" s="19"/>
      <c r="I50" s="1"/>
    </row>
    <row r="51" spans="1:9" x14ac:dyDescent="0.25">
      <c r="A51" s="1"/>
      <c r="B51" s="1"/>
      <c r="C51" s="1"/>
      <c r="D51" s="1"/>
      <c r="E51" s="1"/>
      <c r="F51" s="1"/>
      <c r="G51" s="36"/>
      <c r="H51" s="1"/>
      <c r="I51" s="1"/>
    </row>
    <row r="52" spans="1:9" x14ac:dyDescent="0.25">
      <c r="A52" s="1"/>
      <c r="B52" s="107" t="s">
        <v>133</v>
      </c>
      <c r="C52" s="108"/>
      <c r="D52" s="108"/>
      <c r="E52" s="108"/>
      <c r="F52" s="108"/>
      <c r="G52" s="108"/>
      <c r="H52" s="109"/>
      <c r="I52" s="1"/>
    </row>
    <row r="53" spans="1:9" x14ac:dyDescent="0.25">
      <c r="A53" s="1"/>
      <c r="B53" s="101" t="s">
        <v>134</v>
      </c>
      <c r="C53" s="102"/>
      <c r="D53" s="102"/>
      <c r="E53" s="102"/>
      <c r="F53" s="103"/>
      <c r="G53" s="22">
        <f>(G47+G48-G49)*(1+'Fane 13. Nøgletal'!C16)</f>
        <v>12650789.343045114</v>
      </c>
      <c r="H53" s="14" t="s">
        <v>3</v>
      </c>
      <c r="I53" s="1"/>
    </row>
    <row r="54" spans="1:9" x14ac:dyDescent="0.25">
      <c r="A54" s="1"/>
      <c r="B54" s="101" t="s">
        <v>135</v>
      </c>
      <c r="C54" s="102"/>
      <c r="D54" s="102"/>
      <c r="E54" s="102"/>
      <c r="F54" s="103"/>
      <c r="G54" s="22">
        <f>(G53)*'Fane 13. Nøgletal'!C33</f>
        <v>253015.78686090227</v>
      </c>
      <c r="H54" s="14" t="s">
        <v>3</v>
      </c>
      <c r="I54" s="1"/>
    </row>
    <row r="55" spans="1:9" x14ac:dyDescent="0.25">
      <c r="A55" s="1"/>
      <c r="B55" s="52"/>
      <c r="C55" s="53"/>
      <c r="D55" s="53"/>
      <c r="E55" s="53"/>
      <c r="F55" s="53"/>
      <c r="G55" s="35"/>
      <c r="H55" s="19"/>
      <c r="I55" s="1"/>
    </row>
    <row r="56" spans="1:9" x14ac:dyDescent="0.25">
      <c r="A56" s="1"/>
      <c r="B56" s="1"/>
      <c r="C56" s="1"/>
      <c r="D56" s="1"/>
      <c r="E56" s="1"/>
      <c r="F56" s="1"/>
      <c r="G56" s="36"/>
      <c r="H56" s="1"/>
      <c r="I56" s="1"/>
    </row>
    <row r="57" spans="1:9" x14ac:dyDescent="0.25">
      <c r="A57" s="1"/>
      <c r="B57" s="107" t="s">
        <v>144</v>
      </c>
      <c r="C57" s="108"/>
      <c r="D57" s="108"/>
      <c r="E57" s="108"/>
      <c r="F57" s="108"/>
      <c r="G57" s="108"/>
      <c r="H57" s="109"/>
      <c r="I57" s="1"/>
    </row>
    <row r="58" spans="1:9" x14ac:dyDescent="0.25">
      <c r="A58" s="1"/>
      <c r="B58" s="101" t="s">
        <v>145</v>
      </c>
      <c r="C58" s="102"/>
      <c r="D58" s="102"/>
      <c r="E58" s="102"/>
      <c r="F58" s="103"/>
      <c r="G58" s="22">
        <f>(G53-G54)*(1+'Fane 13. Nøgletal'!C16)</f>
        <v>13399513.659523895</v>
      </c>
      <c r="H58" s="14" t="s">
        <v>3</v>
      </c>
      <c r="I58" s="1"/>
    </row>
    <row r="59" spans="1:9" x14ac:dyDescent="0.25">
      <c r="A59" s="1"/>
      <c r="B59" s="101" t="s">
        <v>146</v>
      </c>
      <c r="C59" s="102"/>
      <c r="D59" s="102"/>
      <c r="E59" s="102"/>
      <c r="F59" s="103"/>
      <c r="G59" s="22">
        <f>(G58)*'Fane 13. Nøgletal'!C33</f>
        <v>267990.27319047792</v>
      </c>
      <c r="H59" s="14" t="s">
        <v>3</v>
      </c>
      <c r="I59" s="1"/>
    </row>
    <row r="60" spans="1:9" x14ac:dyDescent="0.25">
      <c r="A60" s="1"/>
      <c r="B60" s="52"/>
      <c r="C60" s="53"/>
      <c r="D60" s="53"/>
      <c r="E60" s="53"/>
      <c r="F60" s="53"/>
      <c r="G60" s="35"/>
      <c r="H60" s="19"/>
      <c r="I60" s="1"/>
    </row>
    <row r="61" spans="1:9" x14ac:dyDescent="0.25">
      <c r="A61" s="1"/>
      <c r="B61" s="1"/>
      <c r="C61" s="1"/>
      <c r="D61" s="1"/>
      <c r="E61" s="1"/>
      <c r="F61" s="1"/>
      <c r="G61" s="36"/>
      <c r="H61" s="1"/>
      <c r="I61" s="1"/>
    </row>
    <row r="62" spans="1:9" x14ac:dyDescent="0.25">
      <c r="A62" s="1"/>
      <c r="B62" s="107" t="s">
        <v>220</v>
      </c>
      <c r="C62" s="108"/>
      <c r="D62" s="108"/>
      <c r="E62" s="108"/>
      <c r="F62" s="108"/>
      <c r="G62" s="108"/>
      <c r="H62" s="109"/>
      <c r="I62" s="1"/>
    </row>
    <row r="63" spans="1:9" x14ac:dyDescent="0.25">
      <c r="A63" s="1"/>
      <c r="B63" s="101" t="s">
        <v>221</v>
      </c>
      <c r="C63" s="102"/>
      <c r="D63" s="102"/>
      <c r="E63" s="102"/>
      <c r="F63" s="103"/>
      <c r="G63" s="22">
        <f>(G58-G59)*(1+'Fane 13. Nøgletal'!C16)</f>
        <v>14192550.475949157</v>
      </c>
      <c r="H63" s="14" t="s">
        <v>3</v>
      </c>
      <c r="I63" s="1"/>
    </row>
    <row r="64" spans="1:9" x14ac:dyDescent="0.25">
      <c r="A64" s="1"/>
      <c r="B64" s="101" t="s">
        <v>222</v>
      </c>
      <c r="C64" s="102"/>
      <c r="D64" s="102"/>
      <c r="E64" s="102"/>
      <c r="F64" s="103"/>
      <c r="G64" s="22">
        <f>(G63)*'Fane 13. Nøgletal'!C33</f>
        <v>283851.00951898313</v>
      </c>
      <c r="H64" s="14" t="s">
        <v>3</v>
      </c>
      <c r="I64" s="1"/>
    </row>
    <row r="65" spans="1:9" x14ac:dyDescent="0.25">
      <c r="A65" s="1"/>
      <c r="B65" s="52"/>
      <c r="C65" s="53"/>
      <c r="D65" s="53"/>
      <c r="E65" s="53"/>
      <c r="F65" s="53"/>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uTF/AxJC8BLog4KRSTVGS9tdOBvxBTuyy9E1a+t4zi7ObO57GlWPp6NhZSyVBRRf7yjKdLUFKol8YbzDEKy+HQ==" saltValue="B3SJEXYkzXjQmIlRT4R5WQ=="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0" t="s">
        <v>91</v>
      </c>
      <c r="C1" s="111"/>
      <c r="D1" s="111"/>
      <c r="E1" s="111"/>
      <c r="F1" s="111"/>
      <c r="G1" s="111"/>
      <c r="H1" s="111"/>
      <c r="I1" s="1"/>
    </row>
    <row r="2" spans="1:9" ht="19.899999999999999" customHeight="1" x14ac:dyDescent="0.25">
      <c r="A2" s="1"/>
      <c r="B2" s="111"/>
      <c r="C2" s="111"/>
      <c r="D2" s="111"/>
      <c r="E2" s="111"/>
      <c r="F2" s="111"/>
      <c r="G2" s="111"/>
      <c r="H2" s="111"/>
      <c r="I2" s="1"/>
    </row>
    <row r="3" spans="1:9" ht="15" customHeight="1" x14ac:dyDescent="0.25">
      <c r="A3" s="1"/>
      <c r="B3" s="112"/>
      <c r="C3" s="112"/>
      <c r="D3" s="112"/>
      <c r="E3" s="112"/>
      <c r="F3" s="112"/>
      <c r="G3" s="112"/>
      <c r="H3" s="112"/>
      <c r="I3" s="1"/>
    </row>
    <row r="4" spans="1:9" x14ac:dyDescent="0.25">
      <c r="A4" s="1"/>
      <c r="B4" s="107" t="s">
        <v>48</v>
      </c>
      <c r="C4" s="108"/>
      <c r="D4" s="108"/>
      <c r="E4" s="108"/>
      <c r="F4" s="108"/>
      <c r="G4" s="108"/>
      <c r="H4" s="109"/>
      <c r="I4" s="1"/>
    </row>
    <row r="5" spans="1:9" x14ac:dyDescent="0.25">
      <c r="A5" s="1"/>
      <c r="B5" s="101" t="s">
        <v>51</v>
      </c>
      <c r="C5" s="102"/>
      <c r="D5" s="102"/>
      <c r="E5" s="102"/>
      <c r="F5" s="103"/>
      <c r="G5" s="47">
        <v>12941210.375506559</v>
      </c>
      <c r="H5" s="14" t="s">
        <v>3</v>
      </c>
      <c r="I5" s="1"/>
    </row>
    <row r="6" spans="1:9" x14ac:dyDescent="0.25">
      <c r="A6" s="1"/>
      <c r="B6" s="101" t="s">
        <v>49</v>
      </c>
      <c r="C6" s="102"/>
      <c r="D6" s="102"/>
      <c r="E6" s="102"/>
      <c r="F6" s="103"/>
      <c r="G6" s="22">
        <f>G5*'Fane 13. Nøgletal'!C21</f>
        <v>117765.01441710969</v>
      </c>
      <c r="H6" s="14" t="s">
        <v>3</v>
      </c>
      <c r="I6" s="1"/>
    </row>
    <row r="7" spans="1:9" x14ac:dyDescent="0.25">
      <c r="A7" s="1"/>
      <c r="B7" s="52"/>
      <c r="C7" s="53"/>
      <c r="D7" s="53"/>
      <c r="E7" s="53"/>
      <c r="F7" s="53"/>
      <c r="G7" s="53"/>
      <c r="H7" s="19"/>
      <c r="I7" s="1"/>
    </row>
    <row r="8" spans="1:9" x14ac:dyDescent="0.25">
      <c r="A8" s="1"/>
      <c r="B8" s="1"/>
      <c r="C8" s="1"/>
      <c r="D8" s="1"/>
      <c r="E8" s="1"/>
      <c r="F8" s="1"/>
      <c r="G8" s="1"/>
      <c r="H8" s="1"/>
      <c r="I8" s="1"/>
    </row>
    <row r="9" spans="1:9" x14ac:dyDescent="0.25">
      <c r="A9" s="1"/>
      <c r="B9" s="107" t="s">
        <v>52</v>
      </c>
      <c r="C9" s="108"/>
      <c r="D9" s="108"/>
      <c r="E9" s="108"/>
      <c r="F9" s="108"/>
      <c r="G9" s="108"/>
      <c r="H9" s="109"/>
      <c r="I9" s="1"/>
    </row>
    <row r="10" spans="1:9" x14ac:dyDescent="0.25">
      <c r="A10" s="1"/>
      <c r="B10" s="101" t="s">
        <v>53</v>
      </c>
      <c r="C10" s="102"/>
      <c r="D10" s="102"/>
      <c r="E10" s="102"/>
      <c r="F10" s="103"/>
      <c r="G10" s="22">
        <f>(G5-G6)*(1+'Fane 13. Nøgletal'!C9)</f>
        <v>12986303.117175285</v>
      </c>
      <c r="H10" s="14" t="s">
        <v>3</v>
      </c>
      <c r="I10" s="1"/>
    </row>
    <row r="11" spans="1:9" x14ac:dyDescent="0.25">
      <c r="A11" s="1"/>
      <c r="B11" s="104" t="s">
        <v>54</v>
      </c>
      <c r="C11" s="105"/>
      <c r="D11" s="105"/>
      <c r="E11" s="105"/>
      <c r="F11" s="106"/>
      <c r="G11" s="48">
        <v>0</v>
      </c>
      <c r="H11" s="14" t="s">
        <v>3</v>
      </c>
      <c r="I11" s="1"/>
    </row>
    <row r="12" spans="1:9" x14ac:dyDescent="0.25">
      <c r="A12" s="1"/>
      <c r="B12" s="101" t="s">
        <v>55</v>
      </c>
      <c r="C12" s="102"/>
      <c r="D12" s="102"/>
      <c r="E12" s="102"/>
      <c r="F12" s="103"/>
      <c r="G12" s="22">
        <f>G10*'Fane 13. Nøgletal'!C21+G11*'Fane 13. Nøgletal'!C22</f>
        <v>118175.3583662951</v>
      </c>
      <c r="H12" s="14" t="s">
        <v>3</v>
      </c>
      <c r="I12" s="1"/>
    </row>
    <row r="13" spans="1:9" x14ac:dyDescent="0.25">
      <c r="A13" s="1"/>
      <c r="B13" s="52"/>
      <c r="C13" s="53"/>
      <c r="D13" s="53"/>
      <c r="E13" s="53"/>
      <c r="F13" s="53"/>
      <c r="G13" s="53"/>
      <c r="H13" s="19"/>
      <c r="I13" s="1"/>
    </row>
    <row r="14" spans="1:9" x14ac:dyDescent="0.25">
      <c r="A14" s="1"/>
      <c r="B14" s="1"/>
      <c r="C14" s="1"/>
      <c r="D14" s="1"/>
      <c r="E14" s="1"/>
      <c r="F14" s="1"/>
      <c r="G14" s="1"/>
      <c r="H14" s="1"/>
      <c r="I14" s="1"/>
    </row>
    <row r="15" spans="1:9" x14ac:dyDescent="0.25">
      <c r="A15" s="1"/>
      <c r="B15" s="107" t="s">
        <v>56</v>
      </c>
      <c r="C15" s="108"/>
      <c r="D15" s="108"/>
      <c r="E15" s="108"/>
      <c r="F15" s="108"/>
      <c r="G15" s="108"/>
      <c r="H15" s="109"/>
      <c r="I15" s="1"/>
    </row>
    <row r="16" spans="1:9" x14ac:dyDescent="0.25">
      <c r="A16" s="1"/>
      <c r="B16" s="101" t="s">
        <v>57</v>
      </c>
      <c r="C16" s="102"/>
      <c r="D16" s="102"/>
      <c r="E16" s="102"/>
      <c r="F16" s="103"/>
      <c r="G16" s="22">
        <f>(G10+G11-G12)*(1+'Fane 13. Nøgletal'!C11)</f>
        <v>13085599.11793286</v>
      </c>
      <c r="H16" s="14" t="s">
        <v>3</v>
      </c>
      <c r="I16" s="1"/>
    </row>
    <row r="17" spans="1:9" x14ac:dyDescent="0.25">
      <c r="A17" s="1"/>
      <c r="B17" s="101" t="s">
        <v>101</v>
      </c>
      <c r="C17" s="102"/>
      <c r="D17" s="102"/>
      <c r="E17" s="102"/>
      <c r="F17" s="103"/>
      <c r="G17" s="47">
        <v>-69148.200792945747</v>
      </c>
      <c r="H17" s="14" t="s">
        <v>3</v>
      </c>
      <c r="I17" s="1"/>
    </row>
    <row r="18" spans="1:9" x14ac:dyDescent="0.25">
      <c r="A18" s="1"/>
      <c r="B18" s="104" t="s">
        <v>58</v>
      </c>
      <c r="C18" s="105"/>
      <c r="D18" s="105"/>
      <c r="E18" s="105"/>
      <c r="F18" s="106"/>
      <c r="G18" s="47">
        <v>150503.97171021733</v>
      </c>
      <c r="H18" s="14" t="s">
        <v>3</v>
      </c>
      <c r="I18" s="1"/>
    </row>
    <row r="19" spans="1:9" x14ac:dyDescent="0.25">
      <c r="A19" s="1"/>
      <c r="B19" s="101" t="s">
        <v>59</v>
      </c>
      <c r="C19" s="102"/>
      <c r="D19" s="102"/>
      <c r="E19" s="102"/>
      <c r="F19" s="103"/>
      <c r="G19" s="22">
        <f>(G16+G17+G18)*'Fane 13. Nøgletal'!C23</f>
        <v>114552.50753299614</v>
      </c>
      <c r="H19" s="14" t="s">
        <v>3</v>
      </c>
      <c r="I19" s="1"/>
    </row>
    <row r="20" spans="1:9" x14ac:dyDescent="0.25">
      <c r="A20" s="1"/>
      <c r="B20" s="52"/>
      <c r="C20" s="53"/>
      <c r="D20" s="53"/>
      <c r="E20" s="53"/>
      <c r="F20" s="53"/>
      <c r="G20" s="53"/>
      <c r="H20" s="19"/>
      <c r="I20" s="1"/>
    </row>
    <row r="21" spans="1:9" x14ac:dyDescent="0.25">
      <c r="A21" s="1"/>
      <c r="B21" s="1"/>
      <c r="C21" s="1"/>
      <c r="D21" s="1"/>
      <c r="E21" s="1"/>
      <c r="F21" s="1"/>
      <c r="G21" s="1"/>
      <c r="H21" s="1"/>
      <c r="I21" s="1"/>
    </row>
    <row r="22" spans="1:9" x14ac:dyDescent="0.25">
      <c r="A22" s="1"/>
      <c r="B22" s="107" t="s">
        <v>60</v>
      </c>
      <c r="C22" s="108"/>
      <c r="D22" s="108"/>
      <c r="E22" s="108"/>
      <c r="F22" s="108"/>
      <c r="G22" s="108"/>
      <c r="H22" s="109"/>
      <c r="I22" s="1"/>
    </row>
    <row r="23" spans="1:9" x14ac:dyDescent="0.25">
      <c r="A23" s="1"/>
      <c r="B23" s="101" t="s">
        <v>61</v>
      </c>
      <c r="C23" s="102"/>
      <c r="D23" s="102"/>
      <c r="E23" s="102"/>
      <c r="F23" s="103"/>
      <c r="G23" s="22">
        <f>(SUM(G16:G18)-G19)*(1+'Fane 13. Nøgletal'!C11)</f>
        <v>13272987.981561393</v>
      </c>
      <c r="H23" s="14" t="s">
        <v>3</v>
      </c>
      <c r="I23" s="1"/>
    </row>
    <row r="24" spans="1:9" x14ac:dyDescent="0.25">
      <c r="A24" s="1"/>
      <c r="B24" s="104" t="s">
        <v>62</v>
      </c>
      <c r="C24" s="105"/>
      <c r="D24" s="105"/>
      <c r="E24" s="105"/>
      <c r="F24" s="106"/>
      <c r="G24" s="47">
        <v>1010163.6807377673</v>
      </c>
      <c r="H24" s="14" t="s">
        <v>3</v>
      </c>
      <c r="I24" s="1"/>
    </row>
    <row r="25" spans="1:9" x14ac:dyDescent="0.25">
      <c r="A25" s="1"/>
      <c r="B25" s="101" t="s">
        <v>63</v>
      </c>
      <c r="C25" s="102"/>
      <c r="D25" s="102"/>
      <c r="E25" s="102"/>
      <c r="F25" s="103"/>
      <c r="G25" s="22">
        <f>G23*'Fane 13. Nøgletal'!C23+G24*'Fane 13. Nøgletal'!C24</f>
        <v>144163.64397253669</v>
      </c>
      <c r="H25" s="14" t="s">
        <v>3</v>
      </c>
      <c r="I25" s="1"/>
    </row>
    <row r="26" spans="1:9" x14ac:dyDescent="0.25">
      <c r="A26" s="1"/>
      <c r="B26" s="52"/>
      <c r="C26" s="53"/>
      <c r="D26" s="53"/>
      <c r="E26" s="53"/>
      <c r="F26" s="53"/>
      <c r="G26" s="53"/>
      <c r="H26" s="19"/>
      <c r="I26" s="1"/>
    </row>
    <row r="27" spans="1:9" x14ac:dyDescent="0.25">
      <c r="A27" s="1"/>
      <c r="B27" s="1"/>
      <c r="C27" s="1"/>
      <c r="D27" s="1"/>
      <c r="E27" s="1"/>
      <c r="F27" s="1"/>
      <c r="G27" s="1"/>
      <c r="H27" s="1"/>
      <c r="I27" s="1"/>
    </row>
    <row r="28" spans="1:9" x14ac:dyDescent="0.25">
      <c r="A28" s="1"/>
      <c r="B28" s="107" t="s">
        <v>119</v>
      </c>
      <c r="C28" s="108"/>
      <c r="D28" s="108"/>
      <c r="E28" s="108"/>
      <c r="F28" s="108"/>
      <c r="G28" s="108"/>
      <c r="H28" s="109"/>
      <c r="I28" s="1"/>
    </row>
    <row r="29" spans="1:9" x14ac:dyDescent="0.25">
      <c r="A29" s="1"/>
      <c r="B29" s="101" t="s">
        <v>64</v>
      </c>
      <c r="C29" s="102"/>
      <c r="D29" s="102"/>
      <c r="E29" s="102"/>
      <c r="F29" s="103"/>
      <c r="G29" s="22">
        <f>(G23+G24-G25)*(1+'Fane 13. Nøgletal'!C13)</f>
        <v>14311483.672150208</v>
      </c>
      <c r="H29" s="14" t="s">
        <v>3</v>
      </c>
      <c r="I29" s="1"/>
    </row>
    <row r="30" spans="1:9" x14ac:dyDescent="0.25">
      <c r="A30" s="1"/>
      <c r="B30" s="101" t="s">
        <v>113</v>
      </c>
      <c r="C30" s="102"/>
      <c r="D30" s="102"/>
      <c r="E30" s="102"/>
      <c r="F30" s="103"/>
      <c r="G30" s="47">
        <v>93098.703993119998</v>
      </c>
      <c r="H30" s="14" t="s">
        <v>3</v>
      </c>
      <c r="I30" s="1"/>
    </row>
    <row r="31" spans="1:9" x14ac:dyDescent="0.25">
      <c r="A31" s="1"/>
      <c r="B31" s="101" t="s">
        <v>120</v>
      </c>
      <c r="C31" s="102"/>
      <c r="D31" s="102"/>
      <c r="E31" s="102"/>
      <c r="F31" s="103"/>
      <c r="G31" s="22">
        <f>(G29+G30)*'Fane 13. Nøgletal'!C25</f>
        <v>396126.01534394152</v>
      </c>
      <c r="H31" s="14" t="s">
        <v>3</v>
      </c>
      <c r="I31" s="1"/>
    </row>
    <row r="32" spans="1:9" x14ac:dyDescent="0.25">
      <c r="A32" s="1"/>
      <c r="B32" s="52"/>
      <c r="C32" s="53"/>
      <c r="D32" s="53"/>
      <c r="E32" s="53"/>
      <c r="F32" s="53"/>
      <c r="G32" s="53"/>
      <c r="H32" s="19"/>
      <c r="I32" s="1"/>
    </row>
    <row r="33" spans="1:9" x14ac:dyDescent="0.25">
      <c r="A33" s="1"/>
      <c r="B33" s="1"/>
      <c r="C33" s="1"/>
      <c r="D33" s="1"/>
      <c r="E33" s="1"/>
      <c r="F33" s="1"/>
      <c r="G33" s="1"/>
      <c r="H33" s="1"/>
      <c r="I33" s="1"/>
    </row>
    <row r="34" spans="1:9" x14ac:dyDescent="0.25">
      <c r="A34" s="1"/>
      <c r="B34" s="107" t="s">
        <v>124</v>
      </c>
      <c r="C34" s="108"/>
      <c r="D34" s="108"/>
      <c r="E34" s="108"/>
      <c r="F34" s="108"/>
      <c r="G34" s="108"/>
      <c r="H34" s="109"/>
      <c r="I34" s="1"/>
    </row>
    <row r="35" spans="1:9" x14ac:dyDescent="0.25">
      <c r="A35" s="1"/>
      <c r="B35" s="101" t="s">
        <v>67</v>
      </c>
      <c r="C35" s="102"/>
      <c r="D35" s="102"/>
      <c r="E35" s="102"/>
      <c r="F35" s="103"/>
      <c r="G35" s="22">
        <f>(G29+G30-G31)*(1+'Fane 13. Nøgletal'!C13)</f>
        <v>14179359.528401138</v>
      </c>
      <c r="H35" s="14" t="s">
        <v>3</v>
      </c>
      <c r="I35" s="1"/>
    </row>
    <row r="36" spans="1:9" x14ac:dyDescent="0.25">
      <c r="A36" s="1"/>
      <c r="B36" s="101" t="s">
        <v>129</v>
      </c>
      <c r="C36" s="102"/>
      <c r="D36" s="102"/>
      <c r="E36" s="102"/>
      <c r="F36" s="103"/>
      <c r="G36" s="47">
        <v>86881.592526790002</v>
      </c>
      <c r="H36" s="14" t="s">
        <v>3</v>
      </c>
      <c r="I36" s="1"/>
    </row>
    <row r="37" spans="1:9" x14ac:dyDescent="0.25">
      <c r="A37" s="1"/>
      <c r="B37" s="101" t="s">
        <v>125</v>
      </c>
      <c r="C37" s="102"/>
      <c r="D37" s="102"/>
      <c r="E37" s="102"/>
      <c r="F37" s="103"/>
      <c r="G37" s="22">
        <f>G35*'Fane 13. Nøgletal'!C25+G36*'Fane 13. Nøgletal'!C26</f>
        <v>391218.23460042779</v>
      </c>
      <c r="H37" s="14" t="s">
        <v>3</v>
      </c>
      <c r="I37" s="1"/>
    </row>
    <row r="38" spans="1:9" x14ac:dyDescent="0.25">
      <c r="A38" s="1"/>
      <c r="B38" s="52"/>
      <c r="C38" s="53"/>
      <c r="D38" s="53"/>
      <c r="E38" s="53"/>
      <c r="F38" s="53"/>
      <c r="G38" s="53"/>
      <c r="H38" s="19"/>
      <c r="I38" s="1"/>
    </row>
    <row r="39" spans="1:9" x14ac:dyDescent="0.25">
      <c r="A39" s="1"/>
      <c r="B39" s="1"/>
      <c r="C39" s="1"/>
      <c r="D39" s="1"/>
      <c r="E39" s="1"/>
      <c r="F39" s="1"/>
      <c r="G39" s="1"/>
      <c r="H39" s="1"/>
      <c r="I39" s="1"/>
    </row>
    <row r="40" spans="1:9" x14ac:dyDescent="0.25">
      <c r="A40" s="1"/>
      <c r="B40" s="107" t="s">
        <v>159</v>
      </c>
      <c r="C40" s="108"/>
      <c r="D40" s="108"/>
      <c r="E40" s="108"/>
      <c r="F40" s="108"/>
      <c r="G40" s="108"/>
      <c r="H40" s="109"/>
      <c r="I40" s="1"/>
    </row>
    <row r="41" spans="1:9" x14ac:dyDescent="0.25">
      <c r="A41" s="1"/>
      <c r="B41" s="101" t="s">
        <v>66</v>
      </c>
      <c r="C41" s="102"/>
      <c r="D41" s="102"/>
      <c r="E41" s="102"/>
      <c r="F41" s="103"/>
      <c r="G41" s="22">
        <f>(G35+G36-G37)*(1+'Fane 13. Nøgletal'!C15)</f>
        <v>14368973.70108076</v>
      </c>
      <c r="H41" s="14" t="s">
        <v>3</v>
      </c>
      <c r="I41" s="1"/>
    </row>
    <row r="42" spans="1:9" x14ac:dyDescent="0.25">
      <c r="A42" s="1"/>
      <c r="B42" s="101" t="s">
        <v>169</v>
      </c>
      <c r="C42" s="102"/>
      <c r="D42" s="102"/>
      <c r="E42" s="102"/>
      <c r="F42" s="103"/>
      <c r="G42" s="9">
        <v>2303.6598892800002</v>
      </c>
      <c r="H42" s="14" t="s">
        <v>3</v>
      </c>
      <c r="I42" s="1"/>
    </row>
    <row r="43" spans="1:9" x14ac:dyDescent="0.25">
      <c r="A43" s="1"/>
      <c r="B43" s="101" t="s">
        <v>65</v>
      </c>
      <c r="C43" s="102"/>
      <c r="D43" s="102"/>
      <c r="E43" s="102"/>
      <c r="F43" s="103"/>
      <c r="G43" s="64">
        <f>(G41+G42)*'Fane 13. Nøgletal'!C27</f>
        <v>0</v>
      </c>
      <c r="H43" s="14" t="s">
        <v>3</v>
      </c>
      <c r="I43" s="1"/>
    </row>
    <row r="44" spans="1:9" x14ac:dyDescent="0.25">
      <c r="A44" s="1"/>
      <c r="B44" s="52"/>
      <c r="C44" s="53"/>
      <c r="D44" s="53"/>
      <c r="E44" s="53"/>
      <c r="F44" s="53"/>
      <c r="G44" s="53"/>
      <c r="H44" s="19"/>
      <c r="I44" s="1"/>
    </row>
    <row r="45" spans="1:9" ht="12" customHeight="1" x14ac:dyDescent="0.25">
      <c r="A45" s="1"/>
      <c r="B45" s="1"/>
      <c r="C45" s="1"/>
      <c r="D45" s="1"/>
      <c r="E45" s="1"/>
      <c r="F45" s="1"/>
      <c r="G45" s="1"/>
      <c r="H45" s="1"/>
      <c r="I45" s="1"/>
    </row>
    <row r="46" spans="1:9" x14ac:dyDescent="0.25">
      <c r="A46" s="1"/>
      <c r="B46" s="107" t="s">
        <v>160</v>
      </c>
      <c r="C46" s="108"/>
      <c r="D46" s="108"/>
      <c r="E46" s="108"/>
      <c r="F46" s="108"/>
      <c r="G46" s="108"/>
      <c r="H46" s="109"/>
      <c r="I46" s="1"/>
    </row>
    <row r="47" spans="1:9" x14ac:dyDescent="0.25">
      <c r="A47" s="1"/>
      <c r="B47" s="101" t="s">
        <v>114</v>
      </c>
      <c r="C47" s="102"/>
      <c r="D47" s="102"/>
      <c r="E47" s="102"/>
      <c r="F47" s="103"/>
      <c r="G47" s="22">
        <f>(G41+G42-G43)*(1+'Fane 13. Nøgletal'!C15)</f>
        <v>14882894.835020576</v>
      </c>
      <c r="H47" s="14" t="s">
        <v>3</v>
      </c>
      <c r="I47" s="1"/>
    </row>
    <row r="48" spans="1:9" x14ac:dyDescent="0.25">
      <c r="A48" s="1"/>
      <c r="B48" s="101" t="s">
        <v>210</v>
      </c>
      <c r="C48" s="102"/>
      <c r="D48" s="102"/>
      <c r="E48" s="102"/>
      <c r="F48" s="103"/>
      <c r="G48" s="22">
        <f>('Fane 2.1. Økonomisk ramme 2024'!C10+'Fane 2.1. Økonomisk ramme 2024'!C12+'Fane 2.1. Økonomisk ramme 2024'!C14)*(1+'Fane 13. Nøgletal'!C16)</f>
        <v>1471572.0186406935</v>
      </c>
      <c r="H48" s="14" t="s">
        <v>3</v>
      </c>
      <c r="I48" s="1"/>
    </row>
    <row r="49" spans="1:9" x14ac:dyDescent="0.25">
      <c r="A49" s="1"/>
      <c r="B49" s="101" t="s">
        <v>211</v>
      </c>
      <c r="C49" s="102"/>
      <c r="D49" s="102"/>
      <c r="E49" s="102"/>
      <c r="F49" s="103"/>
      <c r="G49" s="64">
        <f>(G47)*'Fane 13. Nøgletal'!C27+G48*'Fane 13. Nøgletal'!C28</f>
        <v>0</v>
      </c>
      <c r="H49" s="14" t="s">
        <v>3</v>
      </c>
      <c r="I49" s="1"/>
    </row>
    <row r="50" spans="1:9" x14ac:dyDescent="0.25">
      <c r="A50" s="1"/>
      <c r="B50" s="52"/>
      <c r="C50" s="53"/>
      <c r="D50" s="53"/>
      <c r="E50" s="53"/>
      <c r="F50" s="53"/>
      <c r="G50" s="53"/>
      <c r="H50" s="19"/>
      <c r="I50" s="1"/>
    </row>
    <row r="51" spans="1:9" x14ac:dyDescent="0.25">
      <c r="A51" s="1"/>
      <c r="B51" s="1"/>
      <c r="C51" s="1"/>
      <c r="D51" s="1"/>
      <c r="E51" s="1"/>
      <c r="F51" s="1"/>
      <c r="G51" s="1"/>
      <c r="H51" s="1"/>
      <c r="I51" s="1"/>
    </row>
    <row r="52" spans="1:9" x14ac:dyDescent="0.25">
      <c r="A52" s="1"/>
      <c r="B52" s="107" t="s">
        <v>130</v>
      </c>
      <c r="C52" s="108"/>
      <c r="D52" s="108"/>
      <c r="E52" s="108"/>
      <c r="F52" s="108"/>
      <c r="G52" s="108"/>
      <c r="H52" s="109"/>
      <c r="I52" s="1"/>
    </row>
    <row r="53" spans="1:9" x14ac:dyDescent="0.25">
      <c r="A53" s="1"/>
      <c r="B53" s="101" t="s">
        <v>131</v>
      </c>
      <c r="C53" s="102"/>
      <c r="D53" s="102"/>
      <c r="E53" s="102"/>
      <c r="F53" s="103"/>
      <c r="G53" s="22">
        <f>(G47+G48-G49)*(1+'Fane 13. Nøgletal'!C16)</f>
        <v>17675907.775437098</v>
      </c>
      <c r="H53" s="14" t="s">
        <v>3</v>
      </c>
      <c r="I53" s="1"/>
    </row>
    <row r="54" spans="1:9" x14ac:dyDescent="0.25">
      <c r="A54" s="1"/>
      <c r="B54" s="101" t="s">
        <v>132</v>
      </c>
      <c r="C54" s="102"/>
      <c r="D54" s="102"/>
      <c r="E54" s="102"/>
      <c r="F54" s="103"/>
      <c r="G54" s="64">
        <f>(G53)*'Fane 13. Nøgletal'!C28</f>
        <v>0</v>
      </c>
      <c r="H54" s="14" t="s">
        <v>3</v>
      </c>
      <c r="I54" s="1"/>
    </row>
    <row r="55" spans="1:9" x14ac:dyDescent="0.25">
      <c r="A55" s="1"/>
      <c r="B55" s="52"/>
      <c r="C55" s="53"/>
      <c r="D55" s="53"/>
      <c r="E55" s="53"/>
      <c r="F55" s="53"/>
      <c r="G55" s="53"/>
      <c r="H55" s="19"/>
      <c r="I55" s="1"/>
    </row>
    <row r="56" spans="1:9" x14ac:dyDescent="0.25">
      <c r="A56" s="1"/>
      <c r="B56" s="1"/>
      <c r="C56" s="1"/>
      <c r="D56" s="1"/>
      <c r="E56" s="1"/>
      <c r="F56" s="1"/>
      <c r="G56" s="1"/>
      <c r="H56" s="1"/>
      <c r="I56" s="1"/>
    </row>
    <row r="57" spans="1:9" x14ac:dyDescent="0.25">
      <c r="A57" s="1"/>
      <c r="B57" s="107" t="s">
        <v>147</v>
      </c>
      <c r="C57" s="108"/>
      <c r="D57" s="108"/>
      <c r="E57" s="108"/>
      <c r="F57" s="108"/>
      <c r="G57" s="108"/>
      <c r="H57" s="109"/>
      <c r="I57" s="1"/>
    </row>
    <row r="58" spans="1:9" x14ac:dyDescent="0.25">
      <c r="A58" s="1"/>
      <c r="B58" s="101" t="s">
        <v>148</v>
      </c>
      <c r="C58" s="102"/>
      <c r="D58" s="102"/>
      <c r="E58" s="102"/>
      <c r="F58" s="103"/>
      <c r="G58" s="22">
        <f>(G53-G54)*(1+'Fane 13. Nøgletal'!C16)</f>
        <v>19104121.123692416</v>
      </c>
      <c r="H58" s="14" t="s">
        <v>3</v>
      </c>
      <c r="I58" s="1"/>
    </row>
    <row r="59" spans="1:9" x14ac:dyDescent="0.25">
      <c r="A59" s="1"/>
      <c r="B59" s="101" t="s">
        <v>149</v>
      </c>
      <c r="C59" s="102"/>
      <c r="D59" s="102"/>
      <c r="E59" s="102"/>
      <c r="F59" s="103"/>
      <c r="G59" s="64">
        <f>(G58)*'Fane 13. Nøgletal'!C28</f>
        <v>0</v>
      </c>
      <c r="H59" s="14" t="s">
        <v>3</v>
      </c>
      <c r="I59" s="1"/>
    </row>
    <row r="60" spans="1:9" x14ac:dyDescent="0.25">
      <c r="A60" s="1"/>
      <c r="B60" s="52"/>
      <c r="C60" s="53"/>
      <c r="D60" s="53"/>
      <c r="E60" s="53"/>
      <c r="F60" s="53"/>
      <c r="G60" s="53"/>
      <c r="H60" s="19"/>
      <c r="I60" s="1"/>
    </row>
    <row r="61" spans="1:9" x14ac:dyDescent="0.25">
      <c r="A61" s="1"/>
      <c r="B61" s="1"/>
      <c r="C61" s="1"/>
      <c r="D61" s="1"/>
      <c r="E61" s="1"/>
      <c r="F61" s="1"/>
      <c r="G61" s="1"/>
      <c r="H61" s="1"/>
      <c r="I61" s="1"/>
    </row>
    <row r="62" spans="1:9" x14ac:dyDescent="0.25">
      <c r="A62" s="1"/>
      <c r="B62" s="107" t="s">
        <v>223</v>
      </c>
      <c r="C62" s="108"/>
      <c r="D62" s="108"/>
      <c r="E62" s="108"/>
      <c r="F62" s="108"/>
      <c r="G62" s="108"/>
      <c r="H62" s="109"/>
      <c r="I62" s="1"/>
    </row>
    <row r="63" spans="1:9" x14ac:dyDescent="0.25">
      <c r="A63" s="1"/>
      <c r="B63" s="101" t="s">
        <v>224</v>
      </c>
      <c r="C63" s="102"/>
      <c r="D63" s="102"/>
      <c r="E63" s="102"/>
      <c r="F63" s="103"/>
      <c r="G63" s="22">
        <f>(G58-G59)*(1+'Fane 13. Nøgletal'!C16)</f>
        <v>20647734.110486761</v>
      </c>
      <c r="H63" s="14" t="s">
        <v>3</v>
      </c>
      <c r="I63" s="1"/>
    </row>
    <row r="64" spans="1:9" x14ac:dyDescent="0.25">
      <c r="A64" s="1"/>
      <c r="B64" s="101" t="s">
        <v>225</v>
      </c>
      <c r="C64" s="102"/>
      <c r="D64" s="102"/>
      <c r="E64" s="102"/>
      <c r="F64" s="103"/>
      <c r="G64" s="64">
        <f>(G63)*'Fane 13. Nøgletal'!C28</f>
        <v>0</v>
      </c>
      <c r="H64" s="14" t="s">
        <v>3</v>
      </c>
      <c r="I64" s="1"/>
    </row>
    <row r="65" spans="1:9" x14ac:dyDescent="0.25">
      <c r="A65" s="1"/>
      <c r="B65" s="52"/>
      <c r="C65" s="53"/>
      <c r="D65" s="53"/>
      <c r="E65" s="53"/>
      <c r="F65" s="53"/>
      <c r="G65" s="53"/>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eQIxRfvR7EiqmoVTixBgSHsfLB7BkvXOBsPdquNwKKiA0FL+9GAz/5NwioNZdcHtgiX8w05w9liuieDDoELfBw==" saltValue="EJLi0GECj4kWATnm2Hn9IA=="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7" t="s">
        <v>77</v>
      </c>
      <c r="C3" s="97"/>
      <c r="D3" s="97"/>
      <c r="E3" s="97"/>
      <c r="F3" s="97"/>
      <c r="G3" s="97"/>
      <c r="H3" s="1"/>
    </row>
    <row r="4" spans="1:8" ht="15" customHeight="1" x14ac:dyDescent="0.25">
      <c r="A4" s="1"/>
      <c r="B4" s="97"/>
      <c r="C4" s="97"/>
      <c r="D4" s="97"/>
      <c r="E4" s="97"/>
      <c r="F4" s="97"/>
      <c r="G4" s="9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7" t="s">
        <v>9</v>
      </c>
      <c r="C8" s="108"/>
      <c r="D8" s="108"/>
      <c r="E8" s="108"/>
      <c r="F8" s="108"/>
      <c r="G8" s="109"/>
      <c r="H8" s="1"/>
    </row>
    <row r="9" spans="1:8" x14ac:dyDescent="0.25">
      <c r="A9" s="1"/>
      <c r="B9" s="69" t="s">
        <v>150</v>
      </c>
      <c r="C9" s="70"/>
      <c r="D9" s="70"/>
      <c r="E9" s="70"/>
      <c r="F9" s="71"/>
      <c r="G9" s="51">
        <v>0.02</v>
      </c>
      <c r="H9" s="1"/>
    </row>
    <row r="10" spans="1:8" x14ac:dyDescent="0.25">
      <c r="A10" s="1"/>
      <c r="B10" s="52"/>
      <c r="C10" s="53"/>
      <c r="D10" s="53"/>
      <c r="E10" s="53"/>
      <c r="F10" s="53"/>
      <c r="G10" s="19"/>
      <c r="H10" s="1"/>
    </row>
    <row r="11" spans="1:8" ht="15" customHeight="1" x14ac:dyDescent="0.25">
      <c r="A11" s="1"/>
      <c r="B11" s="113" t="s">
        <v>236</v>
      </c>
      <c r="C11" s="114"/>
      <c r="D11" s="114"/>
      <c r="E11" s="114"/>
      <c r="F11" s="114"/>
      <c r="G11" s="115"/>
      <c r="H11" s="1"/>
    </row>
    <row r="12" spans="1:8" ht="13.5" customHeight="1" x14ac:dyDescent="0.25">
      <c r="A12" s="1"/>
      <c r="B12" s="116"/>
      <c r="C12" s="117"/>
      <c r="D12" s="117"/>
      <c r="E12" s="117"/>
      <c r="F12" s="117"/>
      <c r="G12" s="118"/>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FwtooHjNyeUZ3cySz/z9MfVylYJp3yk0rZyw7vY4vFUN2yipE9gJVdiaK6S3n9yYWKf7pkQ7agWdS738cgYauw==" saltValue="gv6fGTfiwvVEQzWfVukrXQ=="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2023-11-30T09:28:19Z</dcterms:modified>
</cp:coreProperties>
</file>