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Vejle Spildevand AS (S10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9" l="1"/>
  <c r="E34" i="27" l="1"/>
  <c r="C21" i="23"/>
  <c r="C21" i="22"/>
  <c r="C22" i="15"/>
  <c r="C38" i="2"/>
  <c r="G18" i="41" l="1"/>
  <c r="E26" i="32" l="1"/>
  <c r="E34" i="32" l="1"/>
  <c r="E36" i="32" s="1"/>
  <c r="C20" i="15" s="1"/>
  <c r="E30" i="32"/>
  <c r="C36" i="2" s="1"/>
  <c r="F10" i="11"/>
  <c r="C19" i="22" l="1"/>
  <c r="C19" i="23"/>
  <c r="J11" i="11" l="1"/>
  <c r="H11" i="11"/>
  <c r="C17" i="19" l="1"/>
  <c r="C15" i="23" l="1"/>
  <c r="C15" i="22"/>
  <c r="C16" i="15"/>
  <c r="C24" i="2"/>
  <c r="G34" i="30"/>
  <c r="C11" i="2"/>
  <c r="C10" i="2"/>
  <c r="C10" i="37" l="1"/>
  <c r="C13" i="37" s="1"/>
  <c r="G7" i="30" l="1"/>
  <c r="G11" i="30" s="1"/>
  <c r="E10" i="39" l="1"/>
  <c r="E11" i="39" s="1"/>
  <c r="C10" i="39"/>
  <c r="C11" i="39" s="1"/>
  <c r="E16" i="27" l="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3"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4" i="37" l="1"/>
  <c r="C12" i="2" s="1"/>
  <c r="E11" i="29"/>
  <c r="E12" i="29" s="1"/>
  <c r="C11" i="29"/>
  <c r="C12" i="29" s="1"/>
  <c r="C17" i="2" l="1"/>
  <c r="C16" i="2"/>
  <c r="G47" i="30" s="1"/>
  <c r="G42" i="30" l="1"/>
  <c r="E14"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<sst xmlns="http://schemas.openxmlformats.org/spreadsheetml/2006/main" count="634" uniqueCount="297">
  <si>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</si>
  <si>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</si>
  <si>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</si>
  <si>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</si>
  <si>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</si>
  <si>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</si>
  <si>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</si>
  <si>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</si>
  <si>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</si>
  <si>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</si>
  <si>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</si>
  <si>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</si>
  <si>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</si>
  <si>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</si>
  <si>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</si>
  <si>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</si>
  <si>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</si>
  <si>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</si>
  <si>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</si>
  <si>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</si>
  <si>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</si>
  <si>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</si>
  <si>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</si>
  <si>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</si>
  <si>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</si>
  <si>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</si>
  <si>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</si>
  <si>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</si>
  <si>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</si>
  <si>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</si>
  <si>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</si>
  <si>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</si>
  <si>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</si>
  <si>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</si>
  <si>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</si>
  <si>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</si>
  <si>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</si>
  <si>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</si>
  <si>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</si>
  <si>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</si>
  <si>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</si>
  <si>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</si>
  <si>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</si>
  <si>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</si>
  <si>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</si>
  <si>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</si>
  <si>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</si>
  <si>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</si>
  <si>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</si>
  <si>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</si>
  <si>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</si>
  <si>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</si>
  <si>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</si>
  <si>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</si>
  <si>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</si>
  <si>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</si>
  <si>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</si>
  <si>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</si>
  <si>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</si>
  <si>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</si>
  <si>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</si>
  <si>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</si>
  <si>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</si>
  <si>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</si>
  <si>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</si>
  <si>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</si>
  <si>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</si>
  <si>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</si>
  <si>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</si>
  <si>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</si>
  <si>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</si>
  <si>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</si>
  <si>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</si>
  <si>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</si>
  <si>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</si>
  <si>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</si>
  <si>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</si>
  <si>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</si>
  <si>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</si>
  <si>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</si>
  <si>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</si>
  <si>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</si>
  <si>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</si>
  <si>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</si>
  <si>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</si>
  <si>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</si>
  <si>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</si>
  <si>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</si>
  <si>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</si>
  <si>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</si>
  <si>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</si>
  <si>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</si>
  <si>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</si>
  <si>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</si>
  <si>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</si>
  <si>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</si>
  <si>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</si>
  <si>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</si>
  <si>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</si>
  <si>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</si>
  <si>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</si>
  <si>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</si>
  <si>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</si>
  <si>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</si>
  <si>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</si>
  <si>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</si>
  <si>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</si>
  <si>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</si>
  <si>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</si>
  <si>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</si>
  <si>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</si>
  <si>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</si>
  <si>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</si>
  <si>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</si>
  <si>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</si>
  <si>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</si>
  <si>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</si>
  <si>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</si>
  <si>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</si>
  <si>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</si>
  <si>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</si>
  <si>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</si>
  <si>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</si>
  <si>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</si>
  <si>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</si>
  <si>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</si>
  <si>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</si>
  <si>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</si>
  <si>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</si>
  <si>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</si>
  <si>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</si>
  <si>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</si>
  <si>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</si>
  <si>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</si>
  <si>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</si>
  <si>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</si>
  <si>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</si>
  <si>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</si>
  <si>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</si>
  <si>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</si>
  <si>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</si>
  <si>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</si>
  <si>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</si>
  <si>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</si>
  <si>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</si>
  <si>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</si>
  <si>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</si>
  <si>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</si>
  <si>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</si>
  <si>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</si>
  <si>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</si>
  <si>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</si>
  <si>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</si>
  <si>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</si>
  <si>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</si>
  <si>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</si>
  <si>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</si>
  <si>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</si>
  <si>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</si>
  <si>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</si>
  <si>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</si>
  <si>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</si>
  <si>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</si>
  <si>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</si>
  <si>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</si>
  <si>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</si>
  <si>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</si>
  <si>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</si>
  <si>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</si>
  <si>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</si>
  <si>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</si>
  <si>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</si>
  <si>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</si>
  <si>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</si>
  <si>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</si>
  <si>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</si>
  <si>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</si>
  <si>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</si>
  <si>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</si>
  <si>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</si>
  <si>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</si>
  <si>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</si>
  <si>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</si>
  <si>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</si>
  <si>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</si>
  <si>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</si>
  <si>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</si>
  <si>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</si>
  <si>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</si>
  <si>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</si>
  <si>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</si>
  <si>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</si>
  <si>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</si>
  <si>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</si>
  <si>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</si>
  <si>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</si>
  <si>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</si>
  <si>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</si>
  <si>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</si>
  <si>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</si>
  <si>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</si>
  <si>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</si>
  <si>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</si>
  <si>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</si>
  <si>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</si>
  <si>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</si>
  <si>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</si>
  <si>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</si>
  <si>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</si>
  <si>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</si>
  <si>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</si>
  <si>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</si>
  <si>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</si>
  <si>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</si>
  <si>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</si>
  <si>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</si>
  <si>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</si>
  <si>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</si>
  <si>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</si>
  <si>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</si>
  <si>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</si>
  <si>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</si>
  <si>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</si>
  <si>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</si>
  <si>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</si>
  <si>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</si>
  <si>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</si>
  <si>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</si>
  <si>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</si>
  <si>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</si>
  <si>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</si>
  <si>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</si>
  <si>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</si>
  <si>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</si>
  <si>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</si>
  <si>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</si>
  <si>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</si>
  <si>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</si>
  <si>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</si>
  <si>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</si>
  <si>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</si>
  <si>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</si>
  <si>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</si>
  <si>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</si>
  <si>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</si>
  <si>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</si>
  <si>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</si>
  <si>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</si>
  <si>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</si>
  <si>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</si>
  <si>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</si>
  <si>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</si>
  <si>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</si>
  <si>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</si>
  <si>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</si>
  <si>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</si>
  <si>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</si>
  <si>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</si>
  <si>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</si>
  <si>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</si>
  <si>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</si>
  <si>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</si>
  <si>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</si>
  <si>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</si>
  <si>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</si>
  <si>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</si>
  <si>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</si>
  <si>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</si>
  <si>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</si>
  <si>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</si>
  <si>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</si>
  <si>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</si>
  <si>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</si>
  <si>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</si>
  <si>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</si>
  <si>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</si>
  <si>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</si>
  <si>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</si>
  <si>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</si>
  <si>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</si>
  <si>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</si>
  <si>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</si>
  <si>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Tjenestemandspensioner</t>
  </si>
  <si>
    <t>Ingen anlægsprojekter</t>
  </si>
  <si>
    <t>Ingen tilknyttet virksomhed under hovedvirksomheden</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</si>
  <si>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</si>
  <si>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</si>
  <si>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</si>
  <si>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</si>
  <si>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</si>
  <si>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</si>
  <si>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</si>
  <si>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</si>
  <si>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</si>
  <si>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Betalinger til projekters medfinansiering ØR</t>
  </si>
  <si>
    <t>Separatkloakeringer og oversvømmelseskort</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</si>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</sst>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0" fillId="0" borderId="7" xfId="4" applyNumberFormat="1" applyFont="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1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232</v>
      </c>
      <c r="E8" s="104"/>
      <c r="F8" s="104"/>
      <c r="G8" s="10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1"/>
      <c r="I12" s="1"/>
    </row>
    <row r="13" spans="1:9" x14ac:dyDescent="0.25">
      <c r="A13" s="1"/>
      <c r="B13" s="1"/>
      <c r="C13" s="6" t="s">
        <v>6</v>
      </c>
      <c r="D13" s="105" t="s">
        <v>134</v>
      </c>
      <c r="E13" s="106"/>
      <c r="F13" s="106"/>
      <c r="G13" s="107"/>
      <c r="H13" s="1"/>
      <c r="I13" s="1"/>
    </row>
    <row r="14" spans="1:9" x14ac:dyDescent="0.25">
      <c r="A14" s="1"/>
      <c r="B14" s="1"/>
      <c r="C14" s="6" t="s">
        <v>16</v>
      </c>
      <c r="D14" s="105" t="s">
        <v>235</v>
      </c>
      <c r="E14" s="106"/>
      <c r="F14" s="106"/>
      <c r="G14" s="107"/>
      <c r="H14" s="1"/>
      <c r="I14" s="1"/>
    </row>
    <row r="15" spans="1:9" x14ac:dyDescent="0.25">
      <c r="A15" s="1"/>
      <c r="B15" s="1"/>
      <c r="C15" s="6" t="s">
        <v>34</v>
      </c>
      <c r="D15" s="105" t="s">
        <v>135</v>
      </c>
      <c r="E15" s="106"/>
      <c r="F15" s="106"/>
      <c r="G15" s="107"/>
      <c r="H15" s="1"/>
      <c r="I15" s="1"/>
    </row>
    <row r="16" spans="1:9" x14ac:dyDescent="0.25">
      <c r="A16" s="1"/>
      <c r="B16" s="1"/>
      <c r="C16" s="6" t="s">
        <v>35</v>
      </c>
      <c r="D16" s="105" t="s">
        <v>191</v>
      </c>
      <c r="E16" s="106"/>
      <c r="F16" s="106"/>
      <c r="G16" s="107"/>
      <c r="H16" s="1"/>
      <c r="I16" s="1"/>
    </row>
    <row r="17" spans="1:9" x14ac:dyDescent="0.25">
      <c r="A17" s="1"/>
      <c r="B17" s="1"/>
      <c r="C17" s="6" t="s">
        <v>109</v>
      </c>
      <c r="D17" s="105" t="s">
        <v>192</v>
      </c>
      <c r="E17" s="106"/>
      <c r="F17" s="106"/>
      <c r="G17" s="107"/>
      <c r="H17" s="1"/>
      <c r="I17" s="1"/>
    </row>
    <row r="18" spans="1:9" x14ac:dyDescent="0.25">
      <c r="A18" s="1"/>
      <c r="B18" s="1"/>
      <c r="C18" s="6" t="s">
        <v>94</v>
      </c>
      <c r="D18" s="108" t="s">
        <v>83</v>
      </c>
      <c r="E18" s="109"/>
      <c r="F18" s="109"/>
      <c r="G18" s="110"/>
      <c r="H18" s="1"/>
      <c r="I18" s="1"/>
    </row>
    <row r="19" spans="1:9" x14ac:dyDescent="0.25">
      <c r="A19" s="1"/>
      <c r="B19" s="1"/>
      <c r="C19" s="6" t="s">
        <v>95</v>
      </c>
      <c r="D19" s="108" t="s">
        <v>84</v>
      </c>
      <c r="E19" s="109"/>
      <c r="F19" s="109"/>
      <c r="G19" s="110"/>
      <c r="H19" s="1"/>
      <c r="I19" s="1"/>
    </row>
    <row r="20" spans="1:9" x14ac:dyDescent="0.25">
      <c r="A20" s="1"/>
      <c r="B20" s="1"/>
      <c r="C20" s="6" t="s">
        <v>7</v>
      </c>
      <c r="D20" s="108" t="s">
        <v>10</v>
      </c>
      <c r="E20" s="109"/>
      <c r="F20" s="109"/>
      <c r="G20" s="110"/>
      <c r="H20" s="1"/>
      <c r="I20" s="1"/>
    </row>
    <row r="21" spans="1:9" x14ac:dyDescent="0.25">
      <c r="A21" s="1"/>
      <c r="B21" s="1"/>
      <c r="C21" s="6" t="s">
        <v>96</v>
      </c>
      <c r="D21" s="114" t="s">
        <v>12</v>
      </c>
      <c r="E21" s="115"/>
      <c r="F21" s="115"/>
      <c r="G21" s="116"/>
      <c r="H21" s="1"/>
      <c r="I21" s="1"/>
    </row>
    <row r="22" spans="1:9" x14ac:dyDescent="0.25">
      <c r="A22" s="1"/>
      <c r="B22" s="1"/>
      <c r="C22" s="6" t="s">
        <v>71</v>
      </c>
      <c r="D22" s="100" t="s">
        <v>193</v>
      </c>
      <c r="E22" s="101"/>
      <c r="F22" s="101"/>
      <c r="G22" s="102"/>
      <c r="H22" s="1"/>
      <c r="I22" s="1"/>
    </row>
    <row r="23" spans="1:9" x14ac:dyDescent="0.25">
      <c r="A23" s="1"/>
      <c r="B23" s="1"/>
      <c r="C23" s="6" t="s">
        <v>8</v>
      </c>
      <c r="D23" s="100" t="s">
        <v>251</v>
      </c>
      <c r="E23" s="101"/>
      <c r="F23" s="101"/>
      <c r="G23" s="102"/>
      <c r="H23" s="1"/>
      <c r="I23" s="1"/>
    </row>
    <row r="24" spans="1:9" x14ac:dyDescent="0.25">
      <c r="A24" s="1"/>
      <c r="B24" s="1"/>
      <c r="C24" s="6" t="s">
        <v>9</v>
      </c>
      <c r="D24" s="100" t="s">
        <v>194</v>
      </c>
      <c r="E24" s="101"/>
      <c r="F24" s="101"/>
      <c r="G24" s="102"/>
      <c r="H24" s="1"/>
      <c r="I24" s="1"/>
    </row>
    <row r="25" spans="1:9" x14ac:dyDescent="0.25">
      <c r="A25" s="1"/>
      <c r="B25" s="1"/>
      <c r="C25" s="6" t="s">
        <v>264</v>
      </c>
      <c r="D25" s="100" t="s">
        <v>246</v>
      </c>
      <c r="E25" s="101"/>
      <c r="F25" s="101"/>
      <c r="G25" s="102"/>
      <c r="H25" s="1"/>
      <c r="I25" s="1"/>
    </row>
    <row r="26" spans="1:9" x14ac:dyDescent="0.25">
      <c r="A26" s="1"/>
      <c r="B26" s="1"/>
      <c r="C26" s="6" t="s">
        <v>265</v>
      </c>
      <c r="D26" s="100" t="s">
        <v>72</v>
      </c>
      <c r="E26" s="101"/>
      <c r="F26" s="101"/>
      <c r="G26" s="102"/>
      <c r="H26" s="1"/>
      <c r="I26" s="1"/>
    </row>
    <row r="27" spans="1:9" x14ac:dyDescent="0.25">
      <c r="A27" s="1"/>
      <c r="B27" s="1"/>
      <c r="C27" s="6" t="s">
        <v>266</v>
      </c>
      <c r="D27" s="100" t="s">
        <v>73</v>
      </c>
      <c r="E27" s="101"/>
      <c r="F27" s="101"/>
      <c r="G27" s="102"/>
      <c r="H27" s="1"/>
      <c r="I27" s="1"/>
    </row>
    <row r="28" spans="1:9" x14ac:dyDescent="0.25">
      <c r="A28" s="1"/>
      <c r="B28" s="1"/>
      <c r="C28" s="6" t="s">
        <v>15</v>
      </c>
      <c r="D28" s="100" t="s">
        <v>74</v>
      </c>
      <c r="E28" s="101"/>
      <c r="F28" s="101"/>
      <c r="G28" s="102"/>
      <c r="H28" s="1"/>
      <c r="I28" s="1"/>
    </row>
    <row r="29" spans="1:9" x14ac:dyDescent="0.25">
      <c r="A29" s="1"/>
      <c r="B29" s="1"/>
      <c r="C29" s="6" t="s">
        <v>37</v>
      </c>
      <c r="D29" s="100" t="s">
        <v>112</v>
      </c>
      <c r="E29" s="101"/>
      <c r="F29" s="101"/>
      <c r="G29" s="102"/>
      <c r="H29" s="1"/>
      <c r="I29" s="1"/>
    </row>
    <row r="30" spans="1:9" x14ac:dyDescent="0.25">
      <c r="A30" s="1"/>
      <c r="B30" s="1"/>
      <c r="C30" s="6" t="s">
        <v>38</v>
      </c>
      <c r="D30" s="100" t="s">
        <v>36</v>
      </c>
      <c r="E30" s="101"/>
      <c r="F30" s="101"/>
      <c r="G30" s="102"/>
      <c r="H30" s="1"/>
      <c r="I30" s="1"/>
    </row>
    <row r="31" spans="1:9" x14ac:dyDescent="0.25">
      <c r="A31" s="1"/>
      <c r="B31" s="1"/>
      <c r="C31" s="6" t="s">
        <v>267</v>
      </c>
      <c r="D31" s="111" t="s">
        <v>92</v>
      </c>
      <c r="E31" s="112"/>
      <c r="F31" s="112"/>
      <c r="G31" s="11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ROKPGUJDdhJVjWBRu3H5u5ywz5V5JzhqN1gozMVduq7jlTh+wua2hd+/ZMihiks8yMTuHSd1a8Lb5zL+tGh+3g==" saltValue="xs3Ai/6Ie/K+bwt+iQmwAQ=="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210</v>
      </c>
      <c r="C8" s="151"/>
      <c r="D8" s="153"/>
      <c r="E8" s="1"/>
      <c r="F8" s="1"/>
    </row>
    <row r="9" spans="1:6" ht="15" customHeight="1" x14ac:dyDescent="0.25">
      <c r="A9" s="1"/>
      <c r="B9" s="35" t="s">
        <v>32</v>
      </c>
      <c r="C9" s="11" t="s">
        <v>247</v>
      </c>
      <c r="D9" s="11"/>
      <c r="E9" s="1"/>
      <c r="F9" s="1"/>
    </row>
    <row r="10" spans="1:6" ht="15" customHeight="1" x14ac:dyDescent="0.25">
      <c r="A10" s="1"/>
      <c r="B10" s="92" t="s">
        <v>278</v>
      </c>
      <c r="C10" s="9">
        <v>3160755</v>
      </c>
      <c r="D10" s="14" t="s">
        <v>3</v>
      </c>
      <c r="E10" s="1"/>
      <c r="F10" s="1"/>
    </row>
    <row r="11" spans="1:6" ht="15" customHeight="1" x14ac:dyDescent="0.25">
      <c r="A11" s="1"/>
      <c r="B11" s="92" t="s">
        <v>279</v>
      </c>
      <c r="C11" s="9">
        <v>202597</v>
      </c>
      <c r="D11" s="14" t="s">
        <v>3</v>
      </c>
      <c r="E11" s="1"/>
      <c r="F11" s="1"/>
    </row>
    <row r="12" spans="1:6" ht="15" customHeight="1" x14ac:dyDescent="0.25">
      <c r="A12" s="1"/>
      <c r="B12" s="92" t="s">
        <v>280</v>
      </c>
      <c r="C12" s="9">
        <v>434278</v>
      </c>
      <c r="D12" s="14" t="s">
        <v>3</v>
      </c>
      <c r="E12" s="1"/>
      <c r="F12" s="1"/>
    </row>
    <row r="13" spans="1:6" x14ac:dyDescent="0.25">
      <c r="A13" s="1"/>
      <c r="B13" s="92" t="s">
        <v>281</v>
      </c>
      <c r="C13" s="9">
        <v>382566</v>
      </c>
      <c r="D13" s="14" t="s">
        <v>3</v>
      </c>
      <c r="E13" s="1"/>
      <c r="F13" s="1"/>
    </row>
    <row r="14" spans="1:6" x14ac:dyDescent="0.25">
      <c r="A14" s="1"/>
      <c r="B14" s="92" t="s">
        <v>282</v>
      </c>
      <c r="C14" s="9">
        <v>294623</v>
      </c>
      <c r="D14" s="14" t="s">
        <v>3</v>
      </c>
      <c r="E14" s="1"/>
      <c r="F14" s="1"/>
    </row>
    <row r="15" spans="1:6" x14ac:dyDescent="0.25">
      <c r="A15" s="1"/>
      <c r="B15" s="92" t="s">
        <v>294</v>
      </c>
      <c r="C15" s="9">
        <v>2165042</v>
      </c>
      <c r="D15" s="14" t="s">
        <v>3</v>
      </c>
      <c r="E15" s="1"/>
      <c r="F15" s="1"/>
    </row>
    <row r="16" spans="1:6" x14ac:dyDescent="0.25">
      <c r="A16" s="1"/>
      <c r="B16" s="32" t="s">
        <v>211</v>
      </c>
      <c r="C16" s="12">
        <f>SUM(C10:C15)</f>
        <v>6639861</v>
      </c>
      <c r="D16" s="13" t="s">
        <v>3</v>
      </c>
      <c r="E16" s="1"/>
      <c r="F16" s="1"/>
    </row>
    <row r="17" spans="1:6" x14ac:dyDescent="0.25">
      <c r="A17" s="1"/>
      <c r="B17" s="32" t="s">
        <v>212</v>
      </c>
      <c r="C17" s="12">
        <f>C16*(1+'Fane 15. Nøgletal'!C15)^2</f>
        <v>7121034.1974369604</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50" t="s">
        <v>105</v>
      </c>
      <c r="C20" s="151"/>
      <c r="D20" s="153"/>
      <c r="E20" s="1"/>
      <c r="F20" s="1"/>
    </row>
    <row r="21" spans="1:6" x14ac:dyDescent="0.25">
      <c r="A21" s="1"/>
      <c r="B21" s="92" t="s">
        <v>268</v>
      </c>
      <c r="C21" s="9">
        <v>2398891</v>
      </c>
      <c r="D21" s="14" t="s">
        <v>3</v>
      </c>
      <c r="E21" s="1"/>
      <c r="F21" s="1"/>
    </row>
    <row r="22" spans="1:6" x14ac:dyDescent="0.25">
      <c r="A22" s="1"/>
      <c r="B22" s="92" t="s">
        <v>269</v>
      </c>
      <c r="C22" s="9">
        <v>2409436</v>
      </c>
      <c r="D22" s="14" t="s">
        <v>3</v>
      </c>
      <c r="E22" s="1"/>
      <c r="F22" s="1"/>
    </row>
    <row r="23" spans="1:6" x14ac:dyDescent="0.25">
      <c r="A23" s="1"/>
      <c r="B23" s="92" t="s">
        <v>270</v>
      </c>
      <c r="C23" s="9">
        <v>2420191</v>
      </c>
      <c r="D23" s="14" t="s">
        <v>3</v>
      </c>
      <c r="E23" s="1"/>
      <c r="F23" s="1"/>
    </row>
    <row r="24" spans="1:6" x14ac:dyDescent="0.25">
      <c r="A24" s="1"/>
      <c r="B24" s="28" t="s">
        <v>271</v>
      </c>
      <c r="C24" s="9">
        <v>2431162</v>
      </c>
      <c r="D24" s="14" t="s">
        <v>3</v>
      </c>
      <c r="E24" s="1"/>
      <c r="F24" s="1"/>
    </row>
    <row r="25" spans="1:6" x14ac:dyDescent="0.25">
      <c r="A25" s="1"/>
      <c r="B25" s="150"/>
      <c r="C25" s="151"/>
      <c r="D25" s="153"/>
      <c r="E25" s="1"/>
      <c r="F25" s="1"/>
    </row>
    <row r="26" spans="1:6" x14ac:dyDescent="0.25">
      <c r="A26" s="1"/>
      <c r="B26" s="1"/>
      <c r="C26" s="1"/>
      <c r="D26" s="1"/>
      <c r="E26" s="1"/>
      <c r="F26" s="1"/>
    </row>
    <row r="27" spans="1:6" x14ac:dyDescent="0.25">
      <c r="A27" s="1"/>
      <c r="B27" s="1"/>
      <c r="C27" s="1"/>
      <c r="D27" s="1"/>
      <c r="E27" s="1"/>
      <c r="F27" s="1"/>
    </row>
    <row r="28" spans="1:6" x14ac:dyDescent="0.25">
      <c r="A28" s="1"/>
      <c r="B28" s="150" t="s">
        <v>86</v>
      </c>
      <c r="C28" s="151"/>
      <c r="D28" s="153"/>
      <c r="E28" s="1"/>
      <c r="F28" s="1"/>
    </row>
    <row r="29" spans="1:6" x14ac:dyDescent="0.25">
      <c r="A29" s="1"/>
      <c r="B29" s="92" t="s">
        <v>268</v>
      </c>
      <c r="C29" s="9">
        <v>0</v>
      </c>
      <c r="D29" s="14" t="s">
        <v>3</v>
      </c>
      <c r="E29" s="1"/>
      <c r="F29" s="1"/>
    </row>
    <row r="30" spans="1:6" x14ac:dyDescent="0.25">
      <c r="A30" s="1"/>
      <c r="B30" s="92" t="s">
        <v>269</v>
      </c>
      <c r="C30" s="9">
        <v>0</v>
      </c>
      <c r="D30" s="14" t="s">
        <v>3</v>
      </c>
      <c r="E30" s="1"/>
      <c r="F30" s="1"/>
    </row>
    <row r="31" spans="1:6" x14ac:dyDescent="0.25">
      <c r="A31" s="1"/>
      <c r="B31" s="92" t="s">
        <v>270</v>
      </c>
      <c r="C31" s="9">
        <v>0</v>
      </c>
      <c r="D31" s="14" t="s">
        <v>3</v>
      </c>
      <c r="E31" s="1"/>
      <c r="F31" s="1"/>
    </row>
    <row r="32" spans="1:6" x14ac:dyDescent="0.25">
      <c r="A32" s="1"/>
      <c r="B32" s="28" t="s">
        <v>271</v>
      </c>
      <c r="C32" s="9">
        <v>0</v>
      </c>
      <c r="D32" s="14" t="s">
        <v>3</v>
      </c>
      <c r="E32" s="1"/>
      <c r="F32" s="1"/>
    </row>
    <row r="33" spans="1:6" x14ac:dyDescent="0.25">
      <c r="A33" s="1"/>
      <c r="B33" s="150"/>
      <c r="C33" s="151"/>
      <c r="D33" s="153"/>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JXuLGIjAKOJMdlMcbl8NG0sH7Yh9OA8c05QYFSJ8HQFUAosX1/l85OIJyOwxfo4QokHMYQNWT0LwL12BXZPMyA==" saltValue="EwIydizl6My0TZz9PH7/Qg==" spinCount="100000" sheet="1" objects="1" scenarios="1"/>
  <mergeCells count="6">
    <mergeCell ref="B33:D33"/>
    <mergeCell ref="B3:D4"/>
    <mergeCell ref="B8:D8"/>
    <mergeCell ref="B20:D20"/>
    <mergeCell ref="B28:D28"/>
    <mergeCell ref="B25:D25"/>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0"/>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1" style="2" bestFit="1"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213</v>
      </c>
      <c r="C3" s="122"/>
      <c r="D3" s="122"/>
      <c r="E3" s="122"/>
      <c r="F3" s="122"/>
      <c r="G3" s="1"/>
    </row>
    <row r="4" spans="1:7" ht="15" customHeight="1" x14ac:dyDescent="0.25">
      <c r="A4" s="1"/>
      <c r="B4" s="122"/>
      <c r="C4" s="122"/>
      <c r="D4" s="122"/>
      <c r="E4" s="122"/>
      <c r="F4" s="122"/>
      <c r="G4" s="1"/>
    </row>
    <row r="5" spans="1:7" ht="15" customHeight="1" x14ac:dyDescent="0.25">
      <c r="A5" s="1"/>
      <c r="B5" s="77"/>
      <c r="C5" s="77"/>
      <c r="D5" s="77"/>
      <c r="E5" s="77"/>
      <c r="F5" s="77"/>
      <c r="G5" s="1"/>
    </row>
    <row r="6" spans="1:7" ht="15" customHeight="1" x14ac:dyDescent="0.25">
      <c r="A6" s="1"/>
      <c r="B6" s="77"/>
      <c r="C6" s="77"/>
      <c r="D6" s="77"/>
      <c r="E6" s="77"/>
      <c r="F6" s="77"/>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4" t="s">
        <v>184</v>
      </c>
      <c r="C9" s="145"/>
      <c r="D9" s="146"/>
      <c r="E9" s="9">
        <v>5032897.5641316175</v>
      </c>
      <c r="F9" s="14" t="s">
        <v>3</v>
      </c>
      <c r="G9" s="1"/>
    </row>
    <row r="10" spans="1:7" x14ac:dyDescent="0.25">
      <c r="A10" s="1"/>
      <c r="B10" s="144" t="s">
        <v>185</v>
      </c>
      <c r="C10" s="145"/>
      <c r="D10" s="146"/>
      <c r="E10" s="9">
        <v>-5315755</v>
      </c>
      <c r="F10" s="14" t="s">
        <v>3</v>
      </c>
      <c r="G10" s="1"/>
    </row>
    <row r="11" spans="1:7" x14ac:dyDescent="0.25">
      <c r="A11" s="1"/>
      <c r="B11" s="144" t="s">
        <v>214</v>
      </c>
      <c r="C11" s="145"/>
      <c r="D11" s="146"/>
      <c r="E11" s="9">
        <v>-36601005.878602475</v>
      </c>
      <c r="F11" s="14" t="s">
        <v>3</v>
      </c>
      <c r="G11" s="1"/>
    </row>
    <row r="12" spans="1:7" x14ac:dyDescent="0.25">
      <c r="A12" s="1"/>
      <c r="B12" s="144" t="s">
        <v>272</v>
      </c>
      <c r="C12" s="145"/>
      <c r="D12" s="146"/>
      <c r="E12" s="9">
        <v>-27546062.649865776</v>
      </c>
      <c r="F12" s="14" t="s">
        <v>3</v>
      </c>
      <c r="G12" s="1"/>
    </row>
    <row r="13" spans="1:7" x14ac:dyDescent="0.25">
      <c r="A13" s="1"/>
      <c r="B13" s="32"/>
      <c r="C13" s="33"/>
      <c r="D13" s="33"/>
      <c r="E13" s="33"/>
      <c r="F13" s="20"/>
      <c r="G13" s="1"/>
    </row>
    <row r="14" spans="1:7" ht="75.75" customHeight="1" x14ac:dyDescent="0.25">
      <c r="A14" s="1"/>
      <c r="B14" s="132" t="s">
        <v>273</v>
      </c>
      <c r="C14" s="133"/>
      <c r="D14" s="133"/>
      <c r="E14" s="133"/>
      <c r="F14" s="13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4" t="s">
        <v>274</v>
      </c>
      <c r="C17" s="145"/>
      <c r="D17" s="146"/>
      <c r="E17" s="9">
        <v>-13773031.25175415</v>
      </c>
      <c r="F17" s="14" t="s">
        <v>3</v>
      </c>
      <c r="G17" s="1"/>
    </row>
    <row r="18" spans="1:7" x14ac:dyDescent="0.25">
      <c r="A18" s="1"/>
      <c r="B18" s="144" t="s">
        <v>187</v>
      </c>
      <c r="C18" s="145"/>
      <c r="D18" s="146"/>
      <c r="E18" s="9">
        <v>-13773031.25175415</v>
      </c>
      <c r="F18" s="14" t="s">
        <v>3</v>
      </c>
      <c r="G18" s="1"/>
    </row>
    <row r="19" spans="1:7" x14ac:dyDescent="0.25">
      <c r="A19" s="1"/>
      <c r="B19" s="32"/>
      <c r="C19" s="33"/>
      <c r="D19" s="33"/>
      <c r="E19" s="33"/>
      <c r="F19" s="20"/>
      <c r="G19" s="1"/>
    </row>
    <row r="20" spans="1:7" ht="31.5" customHeight="1" x14ac:dyDescent="0.25">
      <c r="A20" s="1"/>
      <c r="B20" s="132" t="s">
        <v>188</v>
      </c>
      <c r="C20" s="133"/>
      <c r="D20" s="133"/>
      <c r="E20" s="133"/>
      <c r="F20" s="134"/>
      <c r="G20" s="1"/>
    </row>
    <row r="21" spans="1:7" ht="26.25" customHeight="1" x14ac:dyDescent="0.25">
      <c r="A21" s="1"/>
      <c r="B21" s="1"/>
      <c r="C21" s="1"/>
      <c r="D21" s="1"/>
      <c r="E21" s="1"/>
      <c r="F21" s="1"/>
      <c r="G21" s="1"/>
    </row>
    <row r="22" spans="1:7" ht="28.5" customHeight="1" x14ac:dyDescent="0.25">
      <c r="A22" s="1"/>
      <c r="B22" s="89" t="s">
        <v>215</v>
      </c>
      <c r="C22" s="90"/>
      <c r="D22" s="90"/>
      <c r="E22" s="90"/>
      <c r="F22" s="91"/>
      <c r="G22" s="1"/>
    </row>
    <row r="23" spans="1:7" x14ac:dyDescent="0.25">
      <c r="A23" s="1"/>
      <c r="B23" s="86" t="s">
        <v>216</v>
      </c>
      <c r="C23" s="87"/>
      <c r="D23" s="88"/>
      <c r="E23" s="9">
        <v>202871921.02748755</v>
      </c>
      <c r="F23" s="14" t="s">
        <v>3</v>
      </c>
      <c r="G23" s="1"/>
    </row>
    <row r="24" spans="1:7" x14ac:dyDescent="0.25">
      <c r="A24" s="1"/>
      <c r="B24" s="86" t="s">
        <v>217</v>
      </c>
      <c r="C24" s="87"/>
      <c r="D24" s="88"/>
      <c r="E24" s="9">
        <v>193484870</v>
      </c>
      <c r="F24" s="14" t="s">
        <v>3</v>
      </c>
      <c r="G24" s="1"/>
    </row>
    <row r="25" spans="1:7" x14ac:dyDescent="0.25">
      <c r="A25" s="1"/>
      <c r="B25" s="86" t="s">
        <v>33</v>
      </c>
      <c r="C25" s="87"/>
      <c r="D25" s="88"/>
      <c r="E25" s="9">
        <v>0</v>
      </c>
      <c r="F25" s="14" t="s">
        <v>3</v>
      </c>
      <c r="G25" s="1"/>
    </row>
    <row r="26" spans="1:7" x14ac:dyDescent="0.25">
      <c r="A26" s="1"/>
      <c r="B26" s="83" t="s">
        <v>218</v>
      </c>
      <c r="C26" s="84"/>
      <c r="D26" s="85"/>
      <c r="E26" s="62">
        <f>E23-(E24-E25)</f>
        <v>9387051.0274875462</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275</v>
      </c>
      <c r="C29" s="151"/>
      <c r="D29" s="151"/>
      <c r="E29" s="151"/>
      <c r="F29" s="153"/>
      <c r="G29" s="1"/>
    </row>
    <row r="30" spans="1:7" x14ac:dyDescent="0.25">
      <c r="A30" s="1"/>
      <c r="B30" s="141" t="s">
        <v>276</v>
      </c>
      <c r="C30" s="142"/>
      <c r="D30" s="143"/>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-4385980.2242666036</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277</v>
      </c>
      <c r="C33" s="151"/>
      <c r="D33" s="151"/>
      <c r="E33" s="151"/>
      <c r="F33" s="153"/>
      <c r="G33" s="1"/>
    </row>
    <row r="34" spans="1:7" x14ac:dyDescent="0.25">
      <c r="A34" s="1"/>
      <c r="B34" s="164" t="s">
        <v>131</v>
      </c>
      <c r="C34" s="165"/>
      <c r="D34" s="166"/>
      <c r="E34" s="9">
        <f>IF(AND(SUM(E9:E11)&gt;0,SUM(E9:E11,E26)&gt;0),0,IF(AND(SUM(E9:E11)&gt;0,SUM(E9:E11,E26)&lt;0),SUM(E9:E11,E26),IF(AND(SUM(E9:E11)&lt;0,E26&lt;0),E26,0)))</f>
        <v>0</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0</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B39" s="43"/>
      <c r="C39" s="43"/>
      <c r="D39" s="43"/>
      <c r="E39" s="43"/>
      <c r="F39" s="43"/>
    </row>
    <row r="40" spans="1:7" x14ac:dyDescent="0.25">
      <c r="A40" s="43"/>
      <c r="B40" s="43"/>
      <c r="C40" s="43"/>
      <c r="D40" s="43"/>
      <c r="E40" s="43"/>
      <c r="F40" s="43"/>
      <c r="G40" s="43"/>
    </row>
  </sheetData>
  <sheetProtection algorithmName="SHA-512" hashValue="IdI0kMNG8AprwOKmX/+sqnE26XKTUJdkdJhdm10Rp9d/XCyfn8zp/B+9aH2lLnNjKE1Px0bdLR8IWSHaUyYGiQ==" saltValue="RnU9oVxhO2y3hJGXu+nxPA=="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253</v>
      </c>
      <c r="C8" s="151"/>
      <c r="D8" s="151"/>
      <c r="E8" s="151"/>
      <c r="F8" s="151"/>
      <c r="G8" s="151"/>
      <c r="H8" s="153"/>
      <c r="I8" s="1"/>
    </row>
    <row r="9" spans="1:9" ht="15" customHeight="1" x14ac:dyDescent="0.25">
      <c r="A9" s="1"/>
      <c r="B9" s="135" t="s">
        <v>254</v>
      </c>
      <c r="C9" s="136"/>
      <c r="D9" s="136"/>
      <c r="E9" s="136"/>
      <c r="F9" s="136"/>
      <c r="G9" s="136"/>
      <c r="H9" s="137"/>
      <c r="I9" s="1"/>
    </row>
    <row r="10" spans="1:9" x14ac:dyDescent="0.25">
      <c r="A10" s="1"/>
      <c r="B10" s="171" t="s">
        <v>286</v>
      </c>
      <c r="C10" s="172"/>
      <c r="D10" s="172"/>
      <c r="E10" s="172"/>
      <c r="F10" s="173"/>
      <c r="G10" s="44">
        <v>0</v>
      </c>
      <c r="H10" s="9" t="s">
        <v>3</v>
      </c>
      <c r="I10" s="1"/>
    </row>
    <row r="11" spans="1:9" x14ac:dyDescent="0.25">
      <c r="A11" s="1"/>
      <c r="B11" s="171" t="s">
        <v>287</v>
      </c>
      <c r="C11" s="172"/>
      <c r="D11" s="172"/>
      <c r="E11" s="172"/>
      <c r="F11" s="173"/>
      <c r="G11" s="44">
        <v>0</v>
      </c>
      <c r="H11" s="9" t="s">
        <v>3</v>
      </c>
      <c r="I11" s="1"/>
    </row>
    <row r="12" spans="1:9" x14ac:dyDescent="0.25">
      <c r="A12" s="1"/>
      <c r="B12" s="171" t="s">
        <v>288</v>
      </c>
      <c r="C12" s="172"/>
      <c r="D12" s="172"/>
      <c r="E12" s="172"/>
      <c r="F12" s="173"/>
      <c r="G12" s="9">
        <v>0</v>
      </c>
      <c r="H12" s="9" t="s">
        <v>3</v>
      </c>
      <c r="I12" s="1"/>
    </row>
    <row r="13" spans="1:9" x14ac:dyDescent="0.25">
      <c r="A13" s="1"/>
      <c r="B13" s="171" t="s">
        <v>289</v>
      </c>
      <c r="C13" s="172"/>
      <c r="D13" s="172"/>
      <c r="E13" s="172"/>
      <c r="F13" s="173"/>
      <c r="G13" s="9">
        <v>0</v>
      </c>
      <c r="H13" s="9" t="s">
        <v>3</v>
      </c>
      <c r="I13" s="1"/>
    </row>
    <row r="14" spans="1:9" x14ac:dyDescent="0.25">
      <c r="A14" s="1"/>
      <c r="B14" s="171" t="s">
        <v>290</v>
      </c>
      <c r="C14" s="172"/>
      <c r="D14" s="172"/>
      <c r="E14" s="172"/>
      <c r="F14" s="173"/>
      <c r="G14" s="9">
        <v>0</v>
      </c>
      <c r="H14" s="9" t="s">
        <v>3</v>
      </c>
      <c r="I14" s="1"/>
    </row>
    <row r="15" spans="1:9" x14ac:dyDescent="0.25">
      <c r="A15" s="1"/>
      <c r="B15" s="171" t="s">
        <v>291</v>
      </c>
      <c r="C15" s="172"/>
      <c r="D15" s="172"/>
      <c r="E15" s="172"/>
      <c r="F15" s="173"/>
      <c r="G15" s="9">
        <v>0</v>
      </c>
      <c r="H15" s="9" t="s">
        <v>3</v>
      </c>
      <c r="I15" s="1"/>
    </row>
    <row r="16" spans="1:9" x14ac:dyDescent="0.25">
      <c r="A16" s="1"/>
      <c r="B16" s="171" t="s">
        <v>292</v>
      </c>
      <c r="C16" s="172"/>
      <c r="D16" s="172"/>
      <c r="E16" s="172"/>
      <c r="F16" s="173"/>
      <c r="G16" s="9">
        <v>0</v>
      </c>
      <c r="H16" s="9" t="s">
        <v>3</v>
      </c>
      <c r="I16" s="1"/>
    </row>
    <row r="17" spans="1:9" x14ac:dyDescent="0.25">
      <c r="A17" s="1"/>
      <c r="B17" s="171" t="s">
        <v>293</v>
      </c>
      <c r="C17" s="172"/>
      <c r="D17" s="172"/>
      <c r="E17" s="172"/>
      <c r="F17" s="173"/>
      <c r="G17" s="9">
        <v>0</v>
      </c>
      <c r="H17" s="9" t="s">
        <v>3</v>
      </c>
      <c r="I17" s="1"/>
    </row>
    <row r="18" spans="1:9" x14ac:dyDescent="0.25">
      <c r="A18" s="1"/>
      <c r="B18" s="150" t="s">
        <v>255</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eqP/438rNZ1/A5Ne85u9VnwpMubM9j/65/x29RAsfB/6scbfXtgr4lI7rCwvhUsYykjk/vCEa4GmqKB+AIuN5A==" saltValue="0sIgfDZRTjuXR20Dvn8mX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219</v>
      </c>
      <c r="C9" s="174"/>
      <c r="D9" s="174"/>
      <c r="E9" s="174"/>
      <c r="F9" s="174"/>
      <c r="G9" s="1"/>
    </row>
    <row r="10" spans="1:7" x14ac:dyDescent="0.25">
      <c r="A10" s="1"/>
      <c r="B10" s="132" t="s">
        <v>87</v>
      </c>
      <c r="C10" s="133"/>
      <c r="D10" s="134"/>
      <c r="E10" s="7">
        <v>0</v>
      </c>
      <c r="F10" s="8" t="s">
        <v>3</v>
      </c>
      <c r="G10" s="1"/>
    </row>
    <row r="11" spans="1:7" x14ac:dyDescent="0.25">
      <c r="A11" s="1"/>
      <c r="B11" s="144" t="s">
        <v>220</v>
      </c>
      <c r="C11" s="145"/>
      <c r="D11" s="146"/>
      <c r="E11" s="7">
        <v>0</v>
      </c>
      <c r="F11" s="8" t="s">
        <v>3</v>
      </c>
      <c r="G11" s="1"/>
    </row>
    <row r="12" spans="1:7" x14ac:dyDescent="0.25">
      <c r="A12" s="1"/>
      <c r="B12" s="141" t="s">
        <v>88</v>
      </c>
      <c r="C12" s="142"/>
      <c r="D12" s="143"/>
      <c r="E12" s="10">
        <f>E11-E10</f>
        <v>0</v>
      </c>
      <c r="F12" s="11" t="s">
        <v>3</v>
      </c>
      <c r="G12" s="1"/>
    </row>
    <row r="13" spans="1:7" x14ac:dyDescent="0.25">
      <c r="A13" s="1"/>
      <c r="B13" s="174" t="s">
        <v>82</v>
      </c>
      <c r="C13" s="174"/>
      <c r="D13" s="174"/>
      <c r="E13" s="174"/>
      <c r="F13" s="174"/>
      <c r="G13" s="1"/>
    </row>
    <row r="14" spans="1:7" x14ac:dyDescent="0.25">
      <c r="A14" s="1"/>
      <c r="B14" s="144" t="s">
        <v>221</v>
      </c>
      <c r="C14" s="145"/>
      <c r="D14" s="146"/>
      <c r="E14" s="9">
        <v>2378417</v>
      </c>
      <c r="F14" s="8" t="s">
        <v>3</v>
      </c>
      <c r="G14" s="1"/>
    </row>
    <row r="15" spans="1:7" x14ac:dyDescent="0.25">
      <c r="A15" s="1"/>
      <c r="B15" s="132" t="s">
        <v>222</v>
      </c>
      <c r="C15" s="133"/>
      <c r="D15" s="134"/>
      <c r="E15" s="9">
        <v>2839407</v>
      </c>
      <c r="F15" s="8" t="s">
        <v>3</v>
      </c>
      <c r="G15" s="1"/>
    </row>
    <row r="16" spans="1:7" x14ac:dyDescent="0.25">
      <c r="A16" s="1"/>
      <c r="B16" s="141" t="s">
        <v>88</v>
      </c>
      <c r="C16" s="142"/>
      <c r="D16" s="143"/>
      <c r="E16" s="10">
        <f>E15-E14</f>
        <v>460990</v>
      </c>
      <c r="F16" s="11" t="s">
        <v>3</v>
      </c>
      <c r="G16" s="1"/>
    </row>
    <row r="17" spans="1:7" ht="15" customHeight="1" x14ac:dyDescent="0.25">
      <c r="A17" s="1"/>
      <c r="B17" s="32" t="s">
        <v>223</v>
      </c>
      <c r="C17" s="33"/>
      <c r="D17" s="33"/>
      <c r="E17" s="12">
        <f>E12+E16</f>
        <v>460990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P/F9vjC8oF4WigbWfLq1svy9Lw/sgNc0kXE/U8LwnkLvtPJuRPSc3xtVdJPy0mMP23AQb91g00By3TxvQ7Uw==" saltValue="9JvDJ0fid2w6BG5+XHcUJ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230</v>
      </c>
      <c r="C8" s="151"/>
      <c r="D8" s="151"/>
      <c r="E8" s="151"/>
      <c r="F8" s="151"/>
      <c r="G8" s="151"/>
      <c r="H8" s="151"/>
      <c r="I8" s="151"/>
      <c r="J8" s="151"/>
      <c r="K8" s="153"/>
      <c r="L8" s="1"/>
    </row>
    <row r="9" spans="1:12" ht="39.75" customHeight="1" x14ac:dyDescent="0.25">
      <c r="A9" s="1"/>
      <c r="B9" s="19" t="s">
        <v>0</v>
      </c>
      <c r="C9" s="19" t="s">
        <v>1</v>
      </c>
      <c r="D9" s="175" t="s">
        <v>248</v>
      </c>
      <c r="E9" s="176"/>
      <c r="F9" s="175" t="s">
        <v>2</v>
      </c>
      <c r="G9" s="176"/>
      <c r="H9" s="175" t="s">
        <v>250</v>
      </c>
      <c r="I9" s="176"/>
      <c r="J9" s="175" t="s">
        <v>30</v>
      </c>
      <c r="K9" s="176"/>
      <c r="L9" s="1"/>
    </row>
    <row r="10" spans="1:12" x14ac:dyDescent="0.25">
      <c r="A10" s="1"/>
      <c r="B10" s="94" t="s">
        <v>283</v>
      </c>
      <c r="C10" s="38">
        <v>0</v>
      </c>
      <c r="D10" s="9">
        <v>0</v>
      </c>
      <c r="E10" s="14" t="s">
        <v>3</v>
      </c>
      <c r="F10" s="9">
        <f>IFERROR(D10/C10,0)</f>
        <v>0</v>
      </c>
      <c r="G10" s="14" t="s">
        <v>3</v>
      </c>
      <c r="H10" s="9">
        <v>0</v>
      </c>
      <c r="I10" s="14" t="s">
        <v>3</v>
      </c>
      <c r="J10" s="9">
        <v>0</v>
      </c>
      <c r="K10" s="14" t="s">
        <v>3</v>
      </c>
      <c r="L10" s="1"/>
    </row>
    <row r="11" spans="1:12" x14ac:dyDescent="0.25">
      <c r="A11" s="1"/>
      <c r="B11" s="150" t="s">
        <v>231</v>
      </c>
      <c r="C11" s="151"/>
      <c r="D11" s="151"/>
      <c r="E11" s="153"/>
      <c r="F11" s="12">
        <f>SUM(F10:F10)</f>
        <v>0</v>
      </c>
      <c r="G11" s="91" t="s">
        <v>249</v>
      </c>
      <c r="H11" s="12">
        <f>SUM(H10:H10)</f>
        <v>0</v>
      </c>
      <c r="I11" s="91"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1i+++dHpffOd8QzDRVTHUOTKrRlS80WH4YYJCGF6nh6FVTtFHn/BhES+Z9GMVApo3CMpqeys/CxO2HcFDKbmLQ==" saltValue="DLVCyYvTc/5YXY7KeDpq1Q=="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81" t="s">
        <v>17</v>
      </c>
      <c r="C9" s="81" t="s">
        <v>11</v>
      </c>
      <c r="D9" s="82"/>
      <c r="E9" s="81" t="s">
        <v>31</v>
      </c>
      <c r="F9" s="97"/>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25" t="s">
        <v>295</v>
      </c>
      <c r="C11" s="22">
        <v>391563</v>
      </c>
      <c r="D11" s="14" t="s">
        <v>3</v>
      </c>
      <c r="E11" s="9">
        <v>1503984</v>
      </c>
      <c r="F11" s="14" t="s">
        <v>3</v>
      </c>
      <c r="G11" s="1"/>
    </row>
    <row r="12" spans="1:7" x14ac:dyDescent="0.25">
      <c r="A12" s="1"/>
      <c r="B12" s="39" t="s">
        <v>285</v>
      </c>
      <c r="C12" s="22">
        <v>1556234</v>
      </c>
      <c r="D12" s="14" t="s">
        <v>3</v>
      </c>
      <c r="E12" s="9">
        <v>692804</v>
      </c>
      <c r="F12" s="14" t="s">
        <v>3</v>
      </c>
      <c r="G12" s="1"/>
    </row>
    <row r="13" spans="1:7" x14ac:dyDescent="0.25">
      <c r="A13" s="1"/>
      <c r="B13" s="32" t="s">
        <v>144</v>
      </c>
      <c r="C13" s="12">
        <f>SUM(C10:C12)</f>
        <v>1947797</v>
      </c>
      <c r="D13" s="13" t="s">
        <v>3</v>
      </c>
      <c r="E13" s="12">
        <f>SUM(E10:E12)</f>
        <v>2196788</v>
      </c>
      <c r="F13" s="13" t="s">
        <v>3</v>
      </c>
      <c r="G13" s="1"/>
    </row>
    <row r="14" spans="1:7" x14ac:dyDescent="0.25">
      <c r="A14" s="1"/>
      <c r="B14" s="32" t="s">
        <v>224</v>
      </c>
      <c r="C14" s="12">
        <f>C13*(1+'Fane 15. Nøgletal'!C15)</f>
        <v>2017138.5732000002</v>
      </c>
      <c r="D14" s="13" t="s">
        <v>3</v>
      </c>
      <c r="E14" s="12">
        <f>E13*(1+'Fane 15. Nøgletal'!C15)</f>
        <v>2274993.6528000003</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2CZ24D3fHTO3Ciaq/ae54je8NCs6cLNPLx6JpiSXiRmRl82EQenGPJFuPB0CS8mFfH2MwE8Sp37y7ug58L3NA==" saltValue="rG6mi9vzlTrVvpSjpRG6+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89" t="s">
        <v>85</v>
      </c>
      <c r="C7" s="90"/>
      <c r="D7" s="90"/>
      <c r="E7" s="90"/>
      <c r="F7" s="91"/>
      <c r="G7" s="1"/>
    </row>
    <row r="8" spans="1:7" x14ac:dyDescent="0.25">
      <c r="A8" s="1"/>
      <c r="B8" s="81" t="s">
        <v>17</v>
      </c>
      <c r="C8" s="81" t="s">
        <v>11</v>
      </c>
      <c r="D8" s="82"/>
      <c r="E8" s="81" t="s">
        <v>31</v>
      </c>
      <c r="F8" s="97"/>
      <c r="G8" s="1"/>
    </row>
    <row r="9" spans="1:7" x14ac:dyDescent="0.25">
      <c r="A9" s="1"/>
      <c r="B9" s="25" t="s">
        <v>296</v>
      </c>
      <c r="C9" s="22">
        <v>0</v>
      </c>
      <c r="D9" s="14" t="s">
        <v>3</v>
      </c>
      <c r="E9" s="22">
        <v>0</v>
      </c>
      <c r="F9" s="14" t="s">
        <v>3</v>
      </c>
      <c r="G9" s="1"/>
    </row>
    <row r="10" spans="1:7" x14ac:dyDescent="0.25">
      <c r="A10" s="1"/>
      <c r="B10" s="32" t="s">
        <v>233</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95"/>
      <c r="C13" s="95"/>
      <c r="D13" s="95"/>
      <c r="E13" s="95"/>
      <c r="F13" s="95"/>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epug1SKdujI7MYCKLAdnoJ2i9J16FffANVKfqetrclEOvkPhjZZ5fIZfM40CxIKfnXfPiO+zFEc7DL9ukEfhzw==" saltValue="1OC6MXFYru9w9AY7xu4idw=="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240</v>
      </c>
      <c r="C10" s="172"/>
      <c r="D10" s="173"/>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25</v>
      </c>
      <c r="C12" s="130"/>
      <c r="D12" s="131"/>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240</v>
      </c>
      <c r="C16" s="172"/>
      <c r="D16" s="173"/>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25</v>
      </c>
      <c r="C18" s="130"/>
      <c r="D18" s="131"/>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240</v>
      </c>
      <c r="C22" s="172"/>
      <c r="D22" s="173"/>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25</v>
      </c>
      <c r="C24" s="130"/>
      <c r="D24" s="131"/>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225</v>
      </c>
      <c r="C27" s="151"/>
      <c r="D27" s="151"/>
      <c r="E27" s="151"/>
      <c r="F27" s="153"/>
      <c r="G27" s="1"/>
    </row>
    <row r="28" spans="1:7" x14ac:dyDescent="0.25">
      <c r="A28" s="1"/>
      <c r="B28" s="171" t="s">
        <v>240</v>
      </c>
      <c r="C28" s="172"/>
      <c r="D28" s="173"/>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25</v>
      </c>
      <c r="C30" s="130"/>
      <c r="D30" s="131"/>
      <c r="E30" s="9">
        <f>-E28*'Fane 15. Nøgletal'!C31</f>
        <v>0</v>
      </c>
      <c r="F30" s="14" t="s">
        <v>3</v>
      </c>
      <c r="G30" s="1"/>
    </row>
    <row r="31" spans="1:7" x14ac:dyDescent="0.25">
      <c r="A31" s="1"/>
      <c r="B31" s="150" t="s">
        <v>226</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SwqDv6dD6ea5szTjXQawok1+4bkt4BbFUyxWwsTWZgpkNHqPeWr62xEyUqOIa8M6ZTVVPnBLuBevjubV5LqIEw==" saltValue="bMejIPNcG/8tyf1PNO+Uiw=="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6" t="s">
        <v>120</v>
      </c>
      <c r="C9" s="135" t="s">
        <v>11</v>
      </c>
      <c r="D9" s="137"/>
      <c r="E9" s="178" t="s">
        <v>31</v>
      </c>
      <c r="F9" s="179"/>
      <c r="G9" s="1"/>
    </row>
    <row r="10" spans="1:7" x14ac:dyDescent="0.25">
      <c r="A10" s="1"/>
      <c r="B10" s="25" t="s">
        <v>284</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VewhuBoAxwzBHs+RlDlTtIw9qrI4SkXOYMkuhbEeZaQiT7Tn7y86PWt9VHHxl9vhEKJZBSrAORV69pKwQi+fIA==" saltValue="qbemqYaNvQCNRjHigHm9j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262</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6" t="s">
        <v>18</v>
      </c>
      <c r="C10" s="96" t="s">
        <v>11</v>
      </c>
      <c r="D10" s="97"/>
      <c r="E10" s="96" t="s">
        <v>31</v>
      </c>
      <c r="F10" s="97"/>
      <c r="G10" s="1"/>
    </row>
    <row r="11" spans="1:7" x14ac:dyDescent="0.25">
      <c r="A11" s="1"/>
      <c r="B11" s="25" t="s">
        <v>182</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irMbfmajZsZB4w/V0aowccMdg+QXgvmCP5cqp2nJAmSQfTGEiO4dbpgVzEf34/GSvkvvLv8fkpmzLDamHFZRlg==" saltValue="kNBmMLyOGgAFmh3wMyK15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0"/>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78" t="s">
        <v>93</v>
      </c>
      <c r="C9" s="7">
        <f>'Fane 3. Omkostninger i ØR2022'!E20</f>
        <v>189874829.14173239</v>
      </c>
      <c r="D9" s="8" t="s">
        <v>3</v>
      </c>
      <c r="E9" s="1"/>
    </row>
    <row r="10" spans="1:5" x14ac:dyDescent="0.25">
      <c r="A10" s="1"/>
      <c r="B10" s="79" t="s">
        <v>236</v>
      </c>
      <c r="C10" s="7">
        <f>('Fane 3. Omkostninger i ØR2022'!E10+'Fane 3. Omkostninger i ØR2022'!E14)*(1+'Fane 15. Nøgletal'!C14)*(1-'Fane 15. Nøgletal'!C31-'Fane 5. Individuelt eff. krav'!G9)</f>
        <v>1497049.1161902568</v>
      </c>
      <c r="D10" s="8" t="s">
        <v>3</v>
      </c>
      <c r="E10" s="1"/>
    </row>
    <row r="11" spans="1:5" x14ac:dyDescent="0.25">
      <c r="A11" s="1"/>
      <c r="B11" s="79" t="s">
        <v>237</v>
      </c>
      <c r="C11" s="7">
        <f>('Fane 3. Omkostninger i ØR2022'!E11+'Fane 3. Omkostninger i ØR2022'!E15)*(1+'Fane 15. Nøgletal'!C14)*(1-'Fane 15. Nøgletal'!C25-'Fane 5. Individuelt eff. krav'!G9)</f>
        <v>539945.87503877084</v>
      </c>
      <c r="D11" s="8" t="s">
        <v>3</v>
      </c>
      <c r="E11" s="1"/>
    </row>
    <row r="12" spans="1:5" ht="17.25" customHeight="1" x14ac:dyDescent="0.25">
      <c r="A12" s="1"/>
      <c r="B12" s="80" t="s">
        <v>39</v>
      </c>
      <c r="C12" s="40">
        <f>'Fane 11.1. Varige tillæg'!C14</f>
        <v>2017138.5732000002</v>
      </c>
      <c r="D12" s="8" t="s">
        <v>3</v>
      </c>
      <c r="E12" s="1"/>
    </row>
    <row r="13" spans="1:5" ht="17.25" customHeight="1" x14ac:dyDescent="0.25">
      <c r="A13" s="1"/>
      <c r="B13" s="80" t="s">
        <v>40</v>
      </c>
      <c r="C13" s="40">
        <f>'Fane 11.1. Varige tillæg'!E14</f>
        <v>2274993.6528000003</v>
      </c>
      <c r="D13" s="8" t="s">
        <v>3</v>
      </c>
      <c r="E13" s="1"/>
    </row>
    <row r="14" spans="1:5" ht="17.25" customHeight="1" x14ac:dyDescent="0.25">
      <c r="A14" s="1"/>
      <c r="B14" s="80" t="s">
        <v>28</v>
      </c>
      <c r="C14" s="9">
        <f>-'Fane 14. Bortfald'!C13</f>
        <v>0</v>
      </c>
      <c r="D14" s="8" t="s">
        <v>3</v>
      </c>
      <c r="E14" s="1"/>
    </row>
    <row r="15" spans="1:5" ht="17.25" customHeight="1" x14ac:dyDescent="0.25">
      <c r="A15" s="1"/>
      <c r="B15" s="80" t="s">
        <v>27</v>
      </c>
      <c r="C15" s="9">
        <f>-'Fane 14. Bortfald'!E13</f>
        <v>0</v>
      </c>
      <c r="D15" s="8" t="s">
        <v>3</v>
      </c>
      <c r="E15" s="1"/>
    </row>
    <row r="16" spans="1:5" ht="17.25" customHeight="1" x14ac:dyDescent="0.25">
      <c r="A16" s="1"/>
      <c r="B16" s="80" t="s">
        <v>113</v>
      </c>
      <c r="C16" s="9">
        <f>'Fane 13. Tilknyttet virksomhed'!C12</f>
        <v>0</v>
      </c>
      <c r="D16" s="8" t="s">
        <v>3</v>
      </c>
      <c r="E16" s="1"/>
    </row>
    <row r="17" spans="1:5" ht="17.25" customHeight="1" x14ac:dyDescent="0.25">
      <c r="A17" s="1"/>
      <c r="B17" s="80" t="s">
        <v>114</v>
      </c>
      <c r="C17" s="9">
        <f>'Fane 13. Tilknyttet virksomhed'!E12</f>
        <v>0</v>
      </c>
      <c r="D17" s="8" t="s">
        <v>3</v>
      </c>
      <c r="E17" s="1"/>
    </row>
    <row r="18" spans="1:5" ht="17.25" customHeight="1" x14ac:dyDescent="0.25">
      <c r="A18" s="1"/>
      <c r="B18" s="80" t="s">
        <v>19</v>
      </c>
      <c r="C18" s="9">
        <f>SUM(C9)*'Fane 15. Nøgletal'!C14+SUM(C12:C17)*'Fane 15. Nøgletal'!C15</f>
        <v>779386.84341331688</v>
      </c>
      <c r="D18" s="8" t="s">
        <v>3</v>
      </c>
      <c r="E18" s="1"/>
    </row>
    <row r="19" spans="1:5" ht="17.25" customHeight="1" x14ac:dyDescent="0.25">
      <c r="A19" s="1"/>
      <c r="B19" s="80" t="s">
        <v>10</v>
      </c>
      <c r="C19" s="9">
        <f>-SUM(C9,C12:C18)*'Fane 5. Individuelt eff. krav'!G9</f>
        <v>-2115978.8110972103</v>
      </c>
      <c r="D19" s="8" t="s">
        <v>3</v>
      </c>
      <c r="E19" s="1"/>
    </row>
    <row r="20" spans="1:5" ht="17.25" customHeight="1" x14ac:dyDescent="0.25">
      <c r="A20" s="1"/>
      <c r="B20" s="80" t="s">
        <v>25</v>
      </c>
      <c r="C20" s="9">
        <f>-'Fane 4.1. Gen. krav - drift'!G48</f>
        <v>-1374893.5527787968</v>
      </c>
      <c r="D20" s="8" t="s">
        <v>3</v>
      </c>
      <c r="E20" s="42"/>
    </row>
    <row r="21" spans="1:5" ht="15" customHeight="1" x14ac:dyDescent="0.25">
      <c r="A21" s="1"/>
      <c r="B21" s="80" t="s">
        <v>26</v>
      </c>
      <c r="C21" s="9">
        <f>-'Fane 4.2. Gen. krav - anlæg'!G47</f>
        <v>-1874492.2981608198</v>
      </c>
      <c r="D21" s="8" t="s">
        <v>3</v>
      </c>
      <c r="E21" s="1"/>
    </row>
    <row r="22" spans="1:5" ht="15" customHeight="1" x14ac:dyDescent="0.25">
      <c r="A22" s="1"/>
      <c r="B22" s="83" t="s">
        <v>21</v>
      </c>
      <c r="C22" s="10">
        <f>SUM(C9,C12:C21)</f>
        <v>189580983.54910886</v>
      </c>
      <c r="D22" s="11" t="s">
        <v>3</v>
      </c>
      <c r="E22" s="1"/>
    </row>
    <row r="23" spans="1:5" ht="15" customHeight="1" x14ac:dyDescent="0.25">
      <c r="A23" s="1"/>
      <c r="B23" s="32" t="s">
        <v>12</v>
      </c>
      <c r="C23" s="33"/>
      <c r="D23" s="20"/>
      <c r="E23" s="1"/>
    </row>
    <row r="24" spans="1:5" ht="15" customHeight="1" x14ac:dyDescent="0.25">
      <c r="A24" s="1"/>
      <c r="B24" s="96" t="s">
        <v>12</v>
      </c>
      <c r="C24" s="10">
        <f>'Fane 6. Ikke-påvirkelige omk.'!C17+'Fane 6. Ikke-påvirkelige omk.'!C21+'Fane 6. Ikke-påvirkelige omk.'!C29</f>
        <v>9519925.1974369604</v>
      </c>
      <c r="D24" s="11" t="s">
        <v>3</v>
      </c>
      <c r="E24" s="1"/>
    </row>
    <row r="25" spans="1:5" ht="15" customHeight="1" x14ac:dyDescent="0.25">
      <c r="A25" s="1"/>
      <c r="B25" s="32" t="s">
        <v>74</v>
      </c>
      <c r="C25" s="33"/>
      <c r="D25" s="20"/>
      <c r="E25" s="1"/>
    </row>
    <row r="26" spans="1:5" ht="15" customHeight="1" x14ac:dyDescent="0.25">
      <c r="A26" s="1"/>
      <c r="B26" s="83" t="s">
        <v>74</v>
      </c>
      <c r="C26" s="10">
        <f>'Fane 12. Periodevise driftsomk.'!E13</f>
        <v>0</v>
      </c>
      <c r="D26" s="11" t="s">
        <v>3</v>
      </c>
      <c r="E26" s="1"/>
    </row>
    <row r="27" spans="1:5" ht="15" customHeight="1" x14ac:dyDescent="0.25">
      <c r="A27" s="1"/>
      <c r="B27" s="32" t="s">
        <v>73</v>
      </c>
      <c r="C27" s="33"/>
      <c r="D27" s="20"/>
      <c r="E27" s="1"/>
    </row>
    <row r="28" spans="1:5" x14ac:dyDescent="0.25">
      <c r="A28" s="1"/>
      <c r="B28" s="80" t="s">
        <v>69</v>
      </c>
      <c r="C28" s="9">
        <f>'Fane 11.2. Engangstillæg'!C11</f>
        <v>0</v>
      </c>
      <c r="D28" s="8" t="s">
        <v>3</v>
      </c>
      <c r="E28" s="1"/>
    </row>
    <row r="29" spans="1:5" ht="15" customHeight="1" x14ac:dyDescent="0.25">
      <c r="A29" s="1"/>
      <c r="B29" s="80" t="s">
        <v>70</v>
      </c>
      <c r="C29" s="9">
        <f>'Fane 11.2. Engangstillæg'!E11</f>
        <v>0</v>
      </c>
      <c r="D29" s="8" t="s">
        <v>3</v>
      </c>
      <c r="E29" s="1"/>
    </row>
    <row r="30" spans="1:5" ht="15" customHeight="1" x14ac:dyDescent="0.25">
      <c r="A30" s="1"/>
      <c r="B30" s="80" t="s">
        <v>244</v>
      </c>
      <c r="C30" s="9">
        <f>-C28*('Fane 15. Nøgletal'!C31+'Fane 5. Individuelt eff. krav'!G9)</f>
        <v>0</v>
      </c>
      <c r="D30" s="8" t="s">
        <v>3</v>
      </c>
      <c r="E30" s="1"/>
    </row>
    <row r="31" spans="1:5" ht="15" customHeight="1" x14ac:dyDescent="0.25">
      <c r="A31" s="1"/>
      <c r="B31" s="41" t="s">
        <v>245</v>
      </c>
      <c r="C31" s="9">
        <f>-C28*('Fane 15. Nøgletal'!C26+'Fane 5. Individuelt eff. krav'!G9)</f>
        <v>0</v>
      </c>
      <c r="D31" s="8" t="s">
        <v>3</v>
      </c>
      <c r="E31" s="1"/>
    </row>
    <row r="32" spans="1:5" x14ac:dyDescent="0.25">
      <c r="A32" s="1"/>
      <c r="B32" s="83" t="s">
        <v>75</v>
      </c>
      <c r="C32" s="10">
        <f>SUM(C28:C31)</f>
        <v>0</v>
      </c>
      <c r="D32" s="11" t="s">
        <v>3</v>
      </c>
      <c r="E32" s="1"/>
    </row>
    <row r="33" spans="1:5" x14ac:dyDescent="0.25">
      <c r="A33" s="1"/>
      <c r="B33" s="32" t="s">
        <v>194</v>
      </c>
      <c r="C33" s="33"/>
      <c r="D33" s="20"/>
      <c r="E33" s="1"/>
    </row>
    <row r="34" spans="1:5" x14ac:dyDescent="0.25">
      <c r="A34" s="1"/>
      <c r="B34" s="96" t="s">
        <v>194</v>
      </c>
      <c r="C34" s="10">
        <f>'Fane 9. Korrektion af ØR2021'!E17</f>
        <v>460990</v>
      </c>
      <c r="D34" s="11" t="s">
        <v>3</v>
      </c>
      <c r="E34" s="1"/>
    </row>
    <row r="35" spans="1:5" x14ac:dyDescent="0.25">
      <c r="A35" s="1"/>
      <c r="B35" s="32" t="s">
        <v>131</v>
      </c>
      <c r="C35" s="33"/>
      <c r="D35" s="20"/>
      <c r="E35" s="1"/>
    </row>
    <row r="36" spans="1:5" x14ac:dyDescent="0.25">
      <c r="A36" s="1"/>
      <c r="B36" s="96" t="s">
        <v>190</v>
      </c>
      <c r="C36" s="10">
        <f>'Fane 7. Kontrol af ØR2021'!E30</f>
        <v>-4385980.2242666036</v>
      </c>
      <c r="D36" s="11" t="s">
        <v>3</v>
      </c>
      <c r="E36" s="1"/>
    </row>
    <row r="37" spans="1:5" ht="26.25" customHeight="1" x14ac:dyDescent="0.25">
      <c r="A37" s="1"/>
      <c r="B37" s="118" t="s">
        <v>178</v>
      </c>
      <c r="C37" s="119"/>
      <c r="D37" s="120"/>
      <c r="E37" s="1"/>
    </row>
    <row r="38" spans="1:5" x14ac:dyDescent="0.25">
      <c r="A38" s="1"/>
      <c r="B38" s="93" t="s">
        <v>179</v>
      </c>
      <c r="C38" s="10">
        <f>'Fane 8. Skattesagen'!G12</f>
        <v>0</v>
      </c>
      <c r="D38" s="11" t="s">
        <v>3</v>
      </c>
      <c r="E38" s="1"/>
    </row>
    <row r="39" spans="1:5" x14ac:dyDescent="0.25">
      <c r="A39" s="1"/>
      <c r="B39" s="32" t="s">
        <v>78</v>
      </c>
      <c r="C39" s="12">
        <f>SUM(C22,C24,C26,C32,C34,C36,C38)</f>
        <v>195175918.5222792</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row>
  </sheetData>
  <sheetProtection algorithmName="SHA-512" hashValue="m+dyV60gXcJ5UUTMYdOQ9a2SA02gYuEeyyUdwFa2Ir/YFJe0f1OPCbSkW4ebLfuTplCTkk9LB1m/zhfdzDuKNQ==" saltValue="pKUa+QSiKHekcLwDK9pp3w=="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263</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92" t="s">
        <v>180</v>
      </c>
      <c r="C9" s="26">
        <v>1.2699999999999999E-2</v>
      </c>
      <c r="D9" s="1"/>
    </row>
    <row r="10" spans="1:4" x14ac:dyDescent="0.25">
      <c r="A10" s="1"/>
      <c r="B10" s="92" t="s">
        <v>100</v>
      </c>
      <c r="C10" s="26">
        <v>1.7500000000000002E-2</v>
      </c>
      <c r="D10" s="1"/>
    </row>
    <row r="11" spans="1:4" x14ac:dyDescent="0.25">
      <c r="A11" s="1"/>
      <c r="B11" s="92"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92" t="s">
        <v>181</v>
      </c>
      <c r="C20" s="23">
        <v>9.1000000000000004E-3</v>
      </c>
      <c r="D20" s="1"/>
    </row>
    <row r="21" spans="1:4" x14ac:dyDescent="0.25">
      <c r="A21" s="1"/>
      <c r="B21" s="92" t="s">
        <v>102</v>
      </c>
      <c r="C21" s="23">
        <v>1.77E-2</v>
      </c>
      <c r="D21" s="1"/>
    </row>
    <row r="22" spans="1:4" x14ac:dyDescent="0.25">
      <c r="A22" s="1"/>
      <c r="B22" s="92" t="s">
        <v>101</v>
      </c>
      <c r="C22" s="23">
        <v>8.6999999999999994E-3</v>
      </c>
      <c r="D22" s="1"/>
    </row>
    <row r="23" spans="1:4" x14ac:dyDescent="0.25">
      <c r="A23" s="1"/>
      <c r="B23" s="92" t="s">
        <v>103</v>
      </c>
      <c r="C23" s="23">
        <v>2.8400000000000002E-2</v>
      </c>
      <c r="D23" s="1"/>
    </row>
    <row r="24" spans="1:4" x14ac:dyDescent="0.25">
      <c r="A24" s="1"/>
      <c r="B24" s="92" t="s">
        <v>122</v>
      </c>
      <c r="C24" s="30">
        <v>2.75E-2</v>
      </c>
      <c r="D24" s="1"/>
    </row>
    <row r="25" spans="1:4" x14ac:dyDescent="0.25">
      <c r="A25" s="1"/>
      <c r="B25" s="92" t="s">
        <v>149</v>
      </c>
      <c r="C25" s="30">
        <v>1.4800000000000001E-2</v>
      </c>
      <c r="D25" s="1"/>
    </row>
    <row r="26" spans="1:4" x14ac:dyDescent="0.25">
      <c r="A26" s="1"/>
      <c r="B26" s="92" t="s">
        <v>229</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92"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L/2zchAeLwDOzxMAVdbzelK08D1kiO6qTOSWiWUC57s9f3JYttbatFNazVLmRpKPmD3DHgewJ4ZZw08MBU+nFA==" saltValue="CtLwhwdBYaozggxoepYuE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78" t="s">
        <v>115</v>
      </c>
      <c r="C9" s="7">
        <f>'Fane 2.1. Økonomisk ramme 2023'!C22</f>
        <v>189580983.54910886</v>
      </c>
      <c r="D9" s="8" t="s">
        <v>3</v>
      </c>
      <c r="E9" s="1"/>
    </row>
    <row r="10" spans="1:5" ht="15" customHeight="1" x14ac:dyDescent="0.25">
      <c r="A10" s="1"/>
      <c r="B10" s="79" t="s">
        <v>19</v>
      </c>
      <c r="C10" s="7">
        <f>SUM(C9:C9)*'Fane 15. Nøgletal'!C15</f>
        <v>6749083.014348275</v>
      </c>
      <c r="D10" s="8" t="s">
        <v>3</v>
      </c>
      <c r="E10" s="1"/>
    </row>
    <row r="11" spans="1:5" ht="15" customHeight="1" x14ac:dyDescent="0.25">
      <c r="A11" s="1"/>
      <c r="B11" s="79" t="s">
        <v>10</v>
      </c>
      <c r="C11" s="9">
        <f>-SUM(C9:C10)*'Fane 5. Individuelt eff. krav'!G9</f>
        <v>-2130997.9111772287</v>
      </c>
      <c r="D11" s="8" t="s">
        <v>3</v>
      </c>
      <c r="E11" s="1"/>
    </row>
    <row r="12" spans="1:5" ht="15" customHeight="1" x14ac:dyDescent="0.25">
      <c r="A12" s="1"/>
      <c r="B12" s="79" t="s">
        <v>25</v>
      </c>
      <c r="C12" s="9">
        <f>-'Fane 4.1. Gen. krav - drift'!G54</f>
        <v>-1395362.9679925675</v>
      </c>
      <c r="D12" s="8" t="s">
        <v>3</v>
      </c>
      <c r="E12" s="1"/>
    </row>
    <row r="13" spans="1:5" ht="15" customHeight="1" x14ac:dyDescent="0.25">
      <c r="A13" s="1"/>
      <c r="B13" s="79" t="s">
        <v>26</v>
      </c>
      <c r="C13" s="9">
        <f>-'Fane 4.2. Gen. krav - anlæg'!G52</f>
        <v>0</v>
      </c>
      <c r="D13" s="8" t="s">
        <v>3</v>
      </c>
      <c r="E13" s="1"/>
    </row>
    <row r="14" spans="1:5" ht="15" customHeight="1" x14ac:dyDescent="0.25">
      <c r="A14" s="1"/>
      <c r="B14" s="35" t="s">
        <v>21</v>
      </c>
      <c r="C14" s="10">
        <f>SUM(C9:C13)</f>
        <v>192803705.68428734</v>
      </c>
      <c r="D14" s="11" t="s">
        <v>3</v>
      </c>
      <c r="E14" s="1"/>
    </row>
    <row r="15" spans="1:5" ht="15" customHeight="1" x14ac:dyDescent="0.25">
      <c r="A15" s="1"/>
      <c r="B15" s="32" t="s">
        <v>12</v>
      </c>
      <c r="C15" s="33"/>
      <c r="D15" s="20"/>
      <c r="E15" s="1"/>
    </row>
    <row r="16" spans="1:5" ht="15" customHeight="1" x14ac:dyDescent="0.25">
      <c r="A16" s="1"/>
      <c r="B16" s="96" t="s">
        <v>12</v>
      </c>
      <c r="C16" s="10">
        <f>'Fane 6. Ikke-påvirkelige omk.'!C17*(1+'Fane 15. Nøgletal'!C15)+'Fane 6. Ikke-påvirkelige omk.'!C22+'Fane 6. Ikke-påvirkelige omk.'!C30</f>
        <v>9783979.0148657169</v>
      </c>
      <c r="D16" s="11" t="s">
        <v>3</v>
      </c>
      <c r="E16" s="1"/>
    </row>
    <row r="17" spans="1:5" ht="15" customHeight="1" x14ac:dyDescent="0.25">
      <c r="A17" s="1"/>
      <c r="B17" s="32" t="s">
        <v>74</v>
      </c>
      <c r="C17" s="33"/>
      <c r="D17" s="20"/>
      <c r="E17" s="1"/>
    </row>
    <row r="18" spans="1:5" ht="15" customHeight="1" x14ac:dyDescent="0.25">
      <c r="A18" s="1"/>
      <c r="B18" s="83"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6" t="s">
        <v>190</v>
      </c>
      <c r="C20" s="10">
        <f>'Fane 7. Kontrol af ØR2021'!E36</f>
        <v>0</v>
      </c>
      <c r="D20" s="11" t="s">
        <v>3</v>
      </c>
      <c r="E20" s="1"/>
    </row>
    <row r="21" spans="1:5" x14ac:dyDescent="0.25">
      <c r="A21" s="1"/>
      <c r="B21" s="34" t="s">
        <v>178</v>
      </c>
      <c r="C21" s="33"/>
      <c r="D21" s="20"/>
      <c r="E21" s="1"/>
    </row>
    <row r="22" spans="1:5" x14ac:dyDescent="0.25">
      <c r="A22" s="1"/>
      <c r="B22" s="93" t="s">
        <v>179</v>
      </c>
      <c r="C22" s="10">
        <f>'Fane 8. Skattesagen'!G13</f>
        <v>0</v>
      </c>
      <c r="D22" s="11" t="s">
        <v>3</v>
      </c>
      <c r="E22" s="1"/>
    </row>
    <row r="23" spans="1:5" ht="15" customHeight="1" x14ac:dyDescent="0.25">
      <c r="A23" s="1"/>
      <c r="B23" s="32" t="s">
        <v>116</v>
      </c>
      <c r="C23" s="12">
        <f>SUM(C14,C16,C18,C20,C22)</f>
        <v>202587684.69915307</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mTd4xBu/hbNgKZsYUaa6z4vv2iDQKFDqtIv5h9VkLdsTuorBHStI/u/oxBDGQlDdXJjMmECYIKjhopNmqNGy9w==" saltValue="41FAOVi47gsxZenGnsj0T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137</v>
      </c>
      <c r="C8" s="7">
        <f>'Fane 2.2. Økonomisk ramme 2024'!C14</f>
        <v>192803705.68428734</v>
      </c>
      <c r="D8" s="8" t="s">
        <v>3</v>
      </c>
      <c r="E8" s="1"/>
    </row>
    <row r="9" spans="1:5" ht="15" customHeight="1" x14ac:dyDescent="0.25">
      <c r="A9" s="1"/>
      <c r="B9" s="79" t="s">
        <v>19</v>
      </c>
      <c r="C9" s="44">
        <f>SUM(C8:C8)*'Fane 15. Nøgletal'!C15</f>
        <v>6863811.9223606288</v>
      </c>
      <c r="D9" s="8" t="s">
        <v>3</v>
      </c>
      <c r="E9" s="1"/>
    </row>
    <row r="10" spans="1:5" ht="15" customHeight="1" x14ac:dyDescent="0.25">
      <c r="A10" s="1"/>
      <c r="B10" s="79" t="s">
        <v>10</v>
      </c>
      <c r="C10" s="9">
        <f>-SUM(C8:C9)*'Fane 5. Individuelt eff. krav'!G9</f>
        <v>-2167223.1380423005</v>
      </c>
      <c r="D10" s="8" t="s">
        <v>3</v>
      </c>
      <c r="E10" s="1"/>
    </row>
    <row r="11" spans="1:5" ht="15" customHeight="1" x14ac:dyDescent="0.25">
      <c r="A11" s="1"/>
      <c r="B11" s="79" t="s">
        <v>25</v>
      </c>
      <c r="C11" s="9">
        <f>-'Fane 4.1. Gen. krav - drift'!G59</f>
        <v>-1416137.1318600408</v>
      </c>
      <c r="D11" s="8" t="s">
        <v>3</v>
      </c>
      <c r="E11" s="1"/>
    </row>
    <row r="12" spans="1:5" ht="15" customHeight="1" x14ac:dyDescent="0.25">
      <c r="A12" s="1"/>
      <c r="B12" s="79" t="s">
        <v>26</v>
      </c>
      <c r="C12" s="9">
        <f>-'Fane 4.2. Gen. krav - anlæg'!G57</f>
        <v>0</v>
      </c>
      <c r="D12" s="8" t="s">
        <v>3</v>
      </c>
      <c r="E12" s="1"/>
    </row>
    <row r="13" spans="1:5" ht="15.75" customHeight="1" x14ac:dyDescent="0.25">
      <c r="A13" s="1"/>
      <c r="B13" s="35" t="s">
        <v>21</v>
      </c>
      <c r="C13" s="10">
        <f>SUM(C8:C12)</f>
        <v>196084157.33674562</v>
      </c>
      <c r="D13" s="11" t="s">
        <v>3</v>
      </c>
      <c r="E13" s="1"/>
    </row>
    <row r="14" spans="1:5" x14ac:dyDescent="0.25">
      <c r="A14" s="1"/>
      <c r="B14" s="32" t="s">
        <v>12</v>
      </c>
      <c r="C14" s="33"/>
      <c r="D14" s="20"/>
      <c r="E14" s="1"/>
    </row>
    <row r="15" spans="1:5" ht="15" customHeight="1" x14ac:dyDescent="0.25">
      <c r="A15" s="1"/>
      <c r="B15" s="96" t="s">
        <v>12</v>
      </c>
      <c r="C15" s="10">
        <f>'Fane 6. Ikke-påvirkelige omk.'!C17*(1+'Fane 15. Nøgletal'!C15)^2+'Fane 6. Ikke-påvirkelige omk.'!C23+'Fane 6. Ikke-påvirkelige omk.'!C31</f>
        <v>10057267.746194936</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x14ac:dyDescent="0.25">
      <c r="A20" s="1"/>
      <c r="B20" s="34" t="s">
        <v>178</v>
      </c>
      <c r="C20" s="33"/>
      <c r="D20" s="20"/>
      <c r="E20" s="1"/>
    </row>
    <row r="21" spans="1:5" x14ac:dyDescent="0.25">
      <c r="A21" s="1"/>
      <c r="B21" s="93" t="s">
        <v>179</v>
      </c>
      <c r="C21" s="10">
        <f>'Fane 8. Skattesagen'!G14</f>
        <v>0</v>
      </c>
      <c r="D21" s="11" t="s">
        <v>3</v>
      </c>
      <c r="E21" s="1"/>
    </row>
    <row r="22" spans="1:5" x14ac:dyDescent="0.25">
      <c r="A22" s="1"/>
      <c r="B22" s="32" t="s">
        <v>138</v>
      </c>
      <c r="C22" s="12">
        <f>SUM(C13,C15,C17,C19,C21)</f>
        <v>206141425.08294055</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DsHgHxFfVb0DzaaGwPit7Xrk9TD5eOfZ7+q9E30eaXXpBT9LfupcZkAnz60L6ROkYgCIql1WPCPQQekPyzzz+w==" saltValue="5buQfDxzZrHmAyxhBRx4Z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198</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199</v>
      </c>
      <c r="C8" s="7">
        <f>'Fane 2.3. Økonomisk ramme 2025'!C13</f>
        <v>196084157.33674562</v>
      </c>
      <c r="D8" s="8" t="s">
        <v>3</v>
      </c>
      <c r="E8" s="1"/>
    </row>
    <row r="9" spans="1:5" ht="15" customHeight="1" x14ac:dyDescent="0.25">
      <c r="A9" s="1"/>
      <c r="B9" s="79" t="s">
        <v>19</v>
      </c>
      <c r="C9" s="44">
        <f>SUM(C8:C8)*'Fane 15. Nøgletal'!C15</f>
        <v>6980596.0011881441</v>
      </c>
      <c r="D9" s="8" t="s">
        <v>3</v>
      </c>
      <c r="E9" s="1"/>
    </row>
    <row r="10" spans="1:5" ht="15" customHeight="1" x14ac:dyDescent="0.25">
      <c r="A10" s="1"/>
      <c r="B10" s="79" t="s">
        <v>10</v>
      </c>
      <c r="C10" s="9">
        <f>-SUM(C8:C9)*'Fane 5. Individuelt eff. krav'!G9</f>
        <v>-2204097.2774640727</v>
      </c>
      <c r="D10" s="8" t="s">
        <v>3</v>
      </c>
      <c r="E10" s="1"/>
    </row>
    <row r="11" spans="1:5" ht="15" customHeight="1" x14ac:dyDescent="0.25">
      <c r="A11" s="1"/>
      <c r="B11" s="79" t="s">
        <v>25</v>
      </c>
      <c r="C11" s="9">
        <f>-'Fane 4.1. Gen. krav - drift'!G64</f>
        <v>-1437220.5814791729</v>
      </c>
      <c r="D11" s="8" t="s">
        <v>3</v>
      </c>
      <c r="E11" s="1"/>
    </row>
    <row r="12" spans="1:5" ht="15" customHeight="1" x14ac:dyDescent="0.25">
      <c r="A12" s="1"/>
      <c r="B12" s="79" t="s">
        <v>26</v>
      </c>
      <c r="C12" s="9">
        <f>-'Fane 4.2. Gen. krav - anlæg'!G62</f>
        <v>0</v>
      </c>
      <c r="D12" s="8" t="s">
        <v>3</v>
      </c>
      <c r="E12" s="1"/>
    </row>
    <row r="13" spans="1:5" ht="15.75" customHeight="1" x14ac:dyDescent="0.25">
      <c r="A13" s="1"/>
      <c r="B13" s="35" t="s">
        <v>21</v>
      </c>
      <c r="C13" s="10">
        <f>SUM(C8:C12)</f>
        <v>199423435.47899055</v>
      </c>
      <c r="D13" s="11" t="s">
        <v>3</v>
      </c>
      <c r="E13" s="1"/>
    </row>
    <row r="14" spans="1:5" x14ac:dyDescent="0.25">
      <c r="A14" s="1"/>
      <c r="B14" s="32" t="s">
        <v>12</v>
      </c>
      <c r="C14" s="33"/>
      <c r="D14" s="20"/>
      <c r="E14" s="1"/>
    </row>
    <row r="15" spans="1:5" ht="15" customHeight="1" x14ac:dyDescent="0.25">
      <c r="A15" s="1"/>
      <c r="B15" s="96" t="s">
        <v>12</v>
      </c>
      <c r="C15" s="10">
        <f>'Fane 6. Ikke-påvirkelige omk.'!C17*(1+'Fane 15. Nøgletal'!C15)^3+'Fane 6. Ikke-påvirkelige omk.'!C24+'Fane 6. Ikke-påvirkelige omk.'!C32</f>
        <v>10340118.678359477</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ht="15" customHeight="1" x14ac:dyDescent="0.25">
      <c r="A20" s="1"/>
      <c r="B20" s="34" t="s">
        <v>178</v>
      </c>
      <c r="C20" s="33"/>
      <c r="D20" s="20"/>
      <c r="E20" s="1"/>
    </row>
    <row r="21" spans="1:5" ht="15" customHeight="1" x14ac:dyDescent="0.25">
      <c r="A21" s="1"/>
      <c r="B21" s="93" t="s">
        <v>179</v>
      </c>
      <c r="C21" s="10">
        <f>'Fane 8. Skattesagen'!G15</f>
        <v>0</v>
      </c>
      <c r="D21" s="11" t="s">
        <v>3</v>
      </c>
      <c r="E21" s="1"/>
    </row>
    <row r="22" spans="1:5" ht="15" customHeight="1" x14ac:dyDescent="0.25">
      <c r="A22" s="1"/>
      <c r="B22" s="32" t="s">
        <v>200</v>
      </c>
      <c r="C22" s="12">
        <f>SUM(C13,C15,C17,C19,C21)</f>
        <v>209763554.15735003</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t+Q19KC2RuO3Oxbzg4Ku5yi3VBhqfw0MTZs0fazM8B0ZkWnLZTzkpcVXn6ZH5e1XTB7S/MHY5AKmc4c/ksJtQ==" saltValue="yTZGv2XuNPqfrlUN/JHF/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202</v>
      </c>
      <c r="C8" s="33"/>
      <c r="D8" s="33"/>
      <c r="E8" s="33"/>
      <c r="F8" s="20"/>
      <c r="G8" s="1"/>
    </row>
    <row r="9" spans="1:7" x14ac:dyDescent="0.25">
      <c r="A9" s="1"/>
      <c r="B9" s="123" t="s">
        <v>24</v>
      </c>
      <c r="C9" s="124"/>
      <c r="D9" s="125"/>
      <c r="E9" s="63">
        <v>192512141.51214522</v>
      </c>
      <c r="F9" s="8" t="s">
        <v>3</v>
      </c>
      <c r="G9" s="1"/>
    </row>
    <row r="10" spans="1:7" ht="14.25" customHeight="1" x14ac:dyDescent="0.25">
      <c r="A10" s="1"/>
      <c r="B10" s="129" t="s">
        <v>39</v>
      </c>
      <c r="C10" s="130"/>
      <c r="D10" s="131"/>
      <c r="E10" s="63">
        <v>1539629.0645000001</v>
      </c>
      <c r="F10" s="8" t="s">
        <v>3</v>
      </c>
      <c r="G10" s="1"/>
    </row>
    <row r="11" spans="1:7" ht="14.25" customHeight="1" x14ac:dyDescent="0.25">
      <c r="A11" s="1"/>
      <c r="B11" s="129" t="s">
        <v>40</v>
      </c>
      <c r="C11" s="130"/>
      <c r="D11" s="131"/>
      <c r="E11" s="63">
        <v>552339.72590000008</v>
      </c>
      <c r="F11" s="8" t="s">
        <v>3</v>
      </c>
      <c r="G11" s="1"/>
    </row>
    <row r="12" spans="1:7" x14ac:dyDescent="0.25">
      <c r="A12" s="1"/>
      <c r="B12" s="126" t="s">
        <v>28</v>
      </c>
      <c r="C12" s="127"/>
      <c r="D12" s="128"/>
      <c r="E12" s="64">
        <v>0</v>
      </c>
      <c r="F12" s="8" t="s">
        <v>3</v>
      </c>
      <c r="G12" s="1"/>
    </row>
    <row r="13" spans="1:7" ht="15" customHeight="1" x14ac:dyDescent="0.25">
      <c r="A13" s="1"/>
      <c r="B13" s="126" t="s">
        <v>27</v>
      </c>
      <c r="C13" s="127"/>
      <c r="D13" s="128"/>
      <c r="E13" s="64">
        <v>0</v>
      </c>
      <c r="F13" s="8" t="s">
        <v>3</v>
      </c>
      <c r="G13" s="1"/>
    </row>
    <row r="14" spans="1:7" x14ac:dyDescent="0.25">
      <c r="A14" s="1"/>
      <c r="B14" s="126" t="s">
        <v>113</v>
      </c>
      <c r="C14" s="127"/>
      <c r="D14" s="128"/>
      <c r="E14" s="64">
        <v>0</v>
      </c>
      <c r="F14" s="8" t="s">
        <v>3</v>
      </c>
      <c r="G14" s="1"/>
    </row>
    <row r="15" spans="1:7" x14ac:dyDescent="0.25">
      <c r="A15" s="1"/>
      <c r="B15" s="126" t="s">
        <v>114</v>
      </c>
      <c r="C15" s="127"/>
      <c r="D15" s="128"/>
      <c r="E15" s="64">
        <v>0</v>
      </c>
      <c r="F15" s="8" t="s">
        <v>3</v>
      </c>
      <c r="G15" s="1"/>
    </row>
    <row r="16" spans="1:7" x14ac:dyDescent="0.25">
      <c r="A16" s="1"/>
      <c r="B16" s="126" t="s">
        <v>19</v>
      </c>
      <c r="C16" s="127"/>
      <c r="D16" s="128"/>
      <c r="E16" s="64">
        <f>SUM(E9:E15)*'Fane 15. Nøgletal'!C14</f>
        <v>642193.56399839919</v>
      </c>
      <c r="F16" s="8" t="s">
        <v>3</v>
      </c>
      <c r="G16" s="1"/>
    </row>
    <row r="17" spans="1:7" x14ac:dyDescent="0.25">
      <c r="A17" s="1"/>
      <c r="B17" s="126" t="s">
        <v>10</v>
      </c>
      <c r="C17" s="127"/>
      <c r="D17" s="128"/>
      <c r="E17" s="64">
        <v>-2119234.5777064073</v>
      </c>
      <c r="F17" s="8" t="s">
        <v>3</v>
      </c>
      <c r="G17" s="1"/>
    </row>
    <row r="18" spans="1:7" x14ac:dyDescent="0.25">
      <c r="A18" s="1"/>
      <c r="B18" s="126" t="s">
        <v>25</v>
      </c>
      <c r="C18" s="127"/>
      <c r="D18" s="128"/>
      <c r="E18" s="64">
        <f>-'Fane 4.1. Gen. krav - drift'!G42</f>
        <v>-1355846.7044982966</v>
      </c>
      <c r="F18" s="8" t="s">
        <v>3</v>
      </c>
      <c r="G18" s="1"/>
    </row>
    <row r="19" spans="1:7" x14ac:dyDescent="0.25">
      <c r="A19" s="1"/>
      <c r="B19" s="126" t="s">
        <v>26</v>
      </c>
      <c r="C19" s="127"/>
      <c r="D19" s="128"/>
      <c r="E19" s="64">
        <f>-'Fane 4.2. Gen. krav - anlæg'!G41</f>
        <v>-1896393.4426065318</v>
      </c>
      <c r="F19" s="8" t="s">
        <v>3</v>
      </c>
      <c r="G19" s="1"/>
    </row>
    <row r="20" spans="1:7" x14ac:dyDescent="0.25">
      <c r="A20" s="1"/>
      <c r="B20" s="138" t="s">
        <v>21</v>
      </c>
      <c r="C20" s="139"/>
      <c r="D20" s="140"/>
      <c r="E20" s="65">
        <f>SUM(E9:E19)</f>
        <v>189874829.14173239</v>
      </c>
      <c r="F20" s="45" t="s">
        <v>3</v>
      </c>
      <c r="G20" s="1"/>
    </row>
    <row r="21" spans="1:7" x14ac:dyDescent="0.25">
      <c r="A21" s="1"/>
      <c r="B21" s="32" t="s">
        <v>12</v>
      </c>
      <c r="C21" s="33"/>
      <c r="D21" s="33"/>
      <c r="E21" s="66"/>
      <c r="F21" s="20"/>
      <c r="G21" s="1"/>
    </row>
    <row r="22" spans="1:7" ht="14.25" customHeight="1" x14ac:dyDescent="0.25">
      <c r="A22" s="1"/>
      <c r="B22" s="135" t="s">
        <v>12</v>
      </c>
      <c r="C22" s="136"/>
      <c r="D22" s="137"/>
      <c r="E22" s="67">
        <v>8591490.6263580006</v>
      </c>
      <c r="F22" s="10" t="s">
        <v>3</v>
      </c>
      <c r="G22" s="1"/>
    </row>
    <row r="23" spans="1:7" ht="14.25" customHeight="1" x14ac:dyDescent="0.25">
      <c r="A23" s="1"/>
      <c r="B23" s="32" t="s">
        <v>74</v>
      </c>
      <c r="C23" s="33"/>
      <c r="D23" s="33"/>
      <c r="E23" s="66"/>
      <c r="F23" s="20"/>
      <c r="G23" s="1"/>
    </row>
    <row r="24" spans="1:7" x14ac:dyDescent="0.25">
      <c r="A24" s="1"/>
      <c r="B24" s="141" t="s">
        <v>74</v>
      </c>
      <c r="C24" s="142"/>
      <c r="D24" s="143"/>
      <c r="E24" s="67">
        <v>0</v>
      </c>
      <c r="F24" s="10" t="s">
        <v>3</v>
      </c>
      <c r="G24" s="1"/>
    </row>
    <row r="25" spans="1:7" x14ac:dyDescent="0.25">
      <c r="A25" s="1"/>
      <c r="B25" s="32" t="s">
        <v>73</v>
      </c>
      <c r="C25" s="33"/>
      <c r="D25" s="33"/>
      <c r="E25" s="66"/>
      <c r="F25" s="20"/>
      <c r="G25" s="1"/>
    </row>
    <row r="26" spans="1:7" ht="15.4" customHeight="1" x14ac:dyDescent="0.25">
      <c r="A26" s="1"/>
      <c r="B26" s="129" t="s">
        <v>69</v>
      </c>
      <c r="C26" s="130"/>
      <c r="D26" s="131"/>
      <c r="E26" s="68">
        <v>0</v>
      </c>
      <c r="F26" s="8" t="s">
        <v>3</v>
      </c>
      <c r="G26" s="1"/>
    </row>
    <row r="27" spans="1:7" ht="15.75" customHeight="1" x14ac:dyDescent="0.25">
      <c r="A27" s="1"/>
      <c r="B27" s="129" t="s">
        <v>70</v>
      </c>
      <c r="C27" s="130"/>
      <c r="D27" s="131"/>
      <c r="E27" s="68">
        <v>0</v>
      </c>
      <c r="F27" s="8" t="s">
        <v>3</v>
      </c>
      <c r="G27" s="1"/>
    </row>
    <row r="28" spans="1:7" x14ac:dyDescent="0.25">
      <c r="A28" s="1"/>
      <c r="B28" s="83" t="s">
        <v>75</v>
      </c>
      <c r="C28" s="36"/>
      <c r="D28" s="37"/>
      <c r="E28" s="67">
        <v>0</v>
      </c>
      <c r="F28" s="11" t="s">
        <v>3</v>
      </c>
      <c r="G28" s="1"/>
    </row>
    <row r="29" spans="1:7" x14ac:dyDescent="0.25">
      <c r="A29" s="1"/>
      <c r="B29" s="32" t="s">
        <v>136</v>
      </c>
      <c r="C29" s="33"/>
      <c r="D29" s="33"/>
      <c r="E29" s="66"/>
      <c r="F29" s="20"/>
      <c r="G29" s="1"/>
    </row>
    <row r="30" spans="1:7" ht="15" customHeight="1" x14ac:dyDescent="0.25">
      <c r="A30" s="1"/>
      <c r="B30" s="135" t="s">
        <v>136</v>
      </c>
      <c r="C30" s="136"/>
      <c r="D30" s="137"/>
      <c r="E30" s="67">
        <v>-45788</v>
      </c>
      <c r="F30" s="11" t="s">
        <v>3</v>
      </c>
      <c r="G30" s="1"/>
    </row>
    <row r="31" spans="1:7" ht="15" customHeight="1" x14ac:dyDescent="0.25">
      <c r="A31" s="1"/>
      <c r="B31" s="32" t="s">
        <v>131</v>
      </c>
      <c r="C31" s="32"/>
      <c r="D31" s="32"/>
      <c r="E31" s="66"/>
      <c r="F31" s="20"/>
      <c r="G31" s="1"/>
    </row>
    <row r="32" spans="1:7" ht="15" customHeight="1" x14ac:dyDescent="0.25">
      <c r="A32" s="1"/>
      <c r="B32" s="135" t="s">
        <v>190</v>
      </c>
      <c r="C32" s="136"/>
      <c r="D32" s="137"/>
      <c r="E32" s="67">
        <v>-13773031.25175415</v>
      </c>
      <c r="F32" s="11" t="s">
        <v>3</v>
      </c>
      <c r="G32" s="1"/>
    </row>
    <row r="33" spans="1:7" ht="15" customHeight="1" x14ac:dyDescent="0.25">
      <c r="A33" s="1"/>
      <c r="B33" s="34" t="s">
        <v>178</v>
      </c>
      <c r="C33" s="34"/>
      <c r="D33" s="34"/>
      <c r="E33" s="66"/>
      <c r="F33" s="20"/>
      <c r="G33" s="1"/>
    </row>
    <row r="34" spans="1:7" ht="15" customHeight="1" x14ac:dyDescent="0.25">
      <c r="A34" s="1"/>
      <c r="B34" s="93" t="s">
        <v>179</v>
      </c>
      <c r="C34" s="93"/>
      <c r="D34" s="93"/>
      <c r="E34" s="67">
        <f>'Fane 8. Skattesagen'!G11</f>
        <v>0</v>
      </c>
      <c r="F34" s="11" t="s">
        <v>3</v>
      </c>
      <c r="G34" s="1"/>
    </row>
    <row r="35" spans="1:7" x14ac:dyDescent="0.25">
      <c r="A35" s="1"/>
      <c r="B35" s="46" t="s">
        <v>29</v>
      </c>
      <c r="C35" s="48"/>
      <c r="D35" s="48"/>
      <c r="E35" s="69">
        <f>E20+E22+E24+E28+E30+E32+E34</f>
        <v>184647500.51633626</v>
      </c>
      <c r="F35" s="47" t="s">
        <v>3</v>
      </c>
      <c r="G35" s="1"/>
    </row>
    <row r="36" spans="1:7" ht="27" customHeight="1" x14ac:dyDescent="0.25">
      <c r="A36" s="1"/>
      <c r="B36" s="132" t="s">
        <v>203</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Y4mR/FhnlvTRZkLKiK0aDNQcQsLTn9li38hgzZAGZDc9mylTbD5nqExNygcdFJ8W32j2WjYKNGkJbIqExjYZUg==" saltValue="Rw8Xpc3V32v6Ee+ln67/fA=="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22" t="s">
        <v>99</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50" t="s">
        <v>154</v>
      </c>
      <c r="C4" s="151"/>
      <c r="D4" s="151"/>
      <c r="E4" s="151"/>
      <c r="F4" s="151"/>
      <c r="G4" s="151"/>
      <c r="H4" s="153"/>
      <c r="I4" s="1"/>
    </row>
    <row r="5" spans="1:9" x14ac:dyDescent="0.25">
      <c r="A5" s="1"/>
      <c r="B5" s="144" t="s">
        <v>155</v>
      </c>
      <c r="C5" s="145"/>
      <c r="D5" s="145"/>
      <c r="E5" s="145"/>
      <c r="F5" s="146"/>
      <c r="G5" s="24">
        <v>65863295.141847663</v>
      </c>
      <c r="H5" s="14" t="s">
        <v>3</v>
      </c>
      <c r="I5" s="1"/>
    </row>
    <row r="6" spans="1:9" ht="15" customHeight="1" x14ac:dyDescent="0.25">
      <c r="A6" s="1"/>
      <c r="B6" s="132" t="s">
        <v>156</v>
      </c>
      <c r="C6" s="133"/>
      <c r="D6" s="133"/>
      <c r="E6" s="133"/>
      <c r="F6" s="134"/>
      <c r="G6" s="70">
        <v>0</v>
      </c>
      <c r="H6" s="14" t="s">
        <v>3</v>
      </c>
      <c r="I6" s="1"/>
    </row>
    <row r="7" spans="1:9" x14ac:dyDescent="0.25">
      <c r="A7" s="1"/>
      <c r="B7" s="144" t="s">
        <v>157</v>
      </c>
      <c r="C7" s="145"/>
      <c r="D7" s="145"/>
      <c r="E7" s="145"/>
      <c r="F7" s="146"/>
      <c r="G7" s="70">
        <f>SUM(G5:G6)*'Fane 15. Nøgletal'!C31</f>
        <v>1317265.9028369533</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4" t="s">
        <v>158</v>
      </c>
      <c r="C11" s="145"/>
      <c r="D11" s="145"/>
      <c r="E11" s="145"/>
      <c r="F11" s="146"/>
      <c r="G11" s="70">
        <f>(G5-G7)*(1+'Fane 15. Nøgletal'!C10)</f>
        <v>65675584.750693396</v>
      </c>
      <c r="H11" s="14" t="s">
        <v>3</v>
      </c>
      <c r="I11" s="1"/>
    </row>
    <row r="12" spans="1:9" x14ac:dyDescent="0.25">
      <c r="A12" s="1"/>
      <c r="B12" s="144" t="s">
        <v>110</v>
      </c>
      <c r="C12" s="145"/>
      <c r="D12" s="145"/>
      <c r="E12" s="145"/>
      <c r="F12" s="146"/>
      <c r="G12" s="70">
        <v>0</v>
      </c>
      <c r="H12" s="14" t="s">
        <v>3</v>
      </c>
      <c r="I12" s="1"/>
    </row>
    <row r="13" spans="1:9" x14ac:dyDescent="0.25">
      <c r="A13" s="1"/>
      <c r="B13" s="132" t="s">
        <v>108</v>
      </c>
      <c r="C13" s="133"/>
      <c r="D13" s="133"/>
      <c r="E13" s="133"/>
      <c r="F13" s="134"/>
      <c r="G13" s="70">
        <v>0</v>
      </c>
      <c r="H13" s="14" t="s">
        <v>3</v>
      </c>
      <c r="I13" s="1"/>
    </row>
    <row r="14" spans="1:9" x14ac:dyDescent="0.25">
      <c r="A14" s="1"/>
      <c r="B14" s="156" t="s">
        <v>159</v>
      </c>
      <c r="C14" s="154"/>
      <c r="D14" s="154"/>
      <c r="E14" s="154"/>
      <c r="F14" s="155"/>
      <c r="G14" s="70">
        <v>331991.65518750006</v>
      </c>
      <c r="H14" s="14" t="s">
        <v>3</v>
      </c>
      <c r="I14" s="1"/>
    </row>
    <row r="15" spans="1:9" x14ac:dyDescent="0.25">
      <c r="A15" s="1"/>
      <c r="B15" s="144" t="s">
        <v>42</v>
      </c>
      <c r="C15" s="145"/>
      <c r="D15" s="145"/>
      <c r="E15" s="145"/>
      <c r="F15" s="146"/>
      <c r="G15" s="70">
        <f>SUM(G11:G14)*'Fane 15. Nøgletal'!C31</f>
        <v>1320151.5281176181</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4" t="s">
        <v>43</v>
      </c>
      <c r="C19" s="145"/>
      <c r="D19" s="145"/>
      <c r="E19" s="145"/>
      <c r="F19" s="146"/>
      <c r="G19" s="70">
        <f>(G11+G12+G14-G15)*(1+'Fane 15. Nøgletal'!C10)</f>
        <v>65819454.813124143</v>
      </c>
      <c r="H19" s="14" t="s">
        <v>3</v>
      </c>
      <c r="I19" s="1"/>
    </row>
    <row r="20" spans="1:9" x14ac:dyDescent="0.25">
      <c r="A20" s="1"/>
      <c r="B20" s="156" t="s">
        <v>44</v>
      </c>
      <c r="C20" s="154"/>
      <c r="D20" s="154"/>
      <c r="E20" s="154"/>
      <c r="F20" s="155"/>
      <c r="G20" s="70">
        <v>0</v>
      </c>
      <c r="H20" s="14" t="s">
        <v>3</v>
      </c>
      <c r="I20" s="1"/>
    </row>
    <row r="21" spans="1:9" x14ac:dyDescent="0.25">
      <c r="A21" s="1"/>
      <c r="B21" s="144" t="s">
        <v>45</v>
      </c>
      <c r="C21" s="145"/>
      <c r="D21" s="145"/>
      <c r="E21" s="145"/>
      <c r="F21" s="146"/>
      <c r="G21" s="70">
        <f>(G19+G20)*'Fane 15. Nøgletal'!C31</f>
        <v>1316389.0962624829</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4" t="s">
        <v>46</v>
      </c>
      <c r="C25" s="145"/>
      <c r="D25" s="145"/>
      <c r="E25" s="145"/>
      <c r="F25" s="146"/>
      <c r="G25" s="70">
        <f>G19*(1-'Fane 15. Nøgletal'!C31)*(1+'Fane 15. Nøgletal'!C10)+G20*(1-'Fane 15. Nøgletal'!C31)*(1+'Fane 15. Nøgletal'!C11)</f>
        <v>65631869.36690674</v>
      </c>
      <c r="H25" s="14" t="s">
        <v>3</v>
      </c>
      <c r="I25" s="1"/>
    </row>
    <row r="26" spans="1:9" x14ac:dyDescent="0.25">
      <c r="A26" s="1"/>
      <c r="B26" s="147" t="s">
        <v>160</v>
      </c>
      <c r="C26" s="148"/>
      <c r="D26" s="148"/>
      <c r="E26" s="148"/>
      <c r="F26" s="149"/>
      <c r="G26" s="70">
        <f>G20*(1-'Fane 15. Nøgletal'!C31)*(1+'Fane 15. Nøgletal'!C11)</f>
        <v>0</v>
      </c>
      <c r="H26" s="14" t="s">
        <v>3</v>
      </c>
      <c r="I26" s="1"/>
    </row>
    <row r="27" spans="1:9" x14ac:dyDescent="0.25">
      <c r="A27" s="1"/>
      <c r="B27" s="156" t="s">
        <v>47</v>
      </c>
      <c r="C27" s="154"/>
      <c r="D27" s="154"/>
      <c r="E27" s="154"/>
      <c r="F27" s="155"/>
      <c r="G27" s="70">
        <v>1116147.00796533</v>
      </c>
      <c r="H27" s="14" t="s">
        <v>3</v>
      </c>
      <c r="I27" s="1"/>
    </row>
    <row r="28" spans="1:9" x14ac:dyDescent="0.25">
      <c r="A28" s="1"/>
      <c r="B28" s="144" t="s">
        <v>48</v>
      </c>
      <c r="C28" s="145"/>
      <c r="D28" s="145"/>
      <c r="E28" s="145"/>
      <c r="F28" s="146"/>
      <c r="G28" s="70">
        <f>SUM(G25,G27)*'Fane 15. Nøgletal'!C31</f>
        <v>1334960.3274974416</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4" t="s">
        <v>53</v>
      </c>
      <c r="C32" s="145"/>
      <c r="D32" s="145"/>
      <c r="E32" s="145"/>
      <c r="F32" s="146"/>
      <c r="G32" s="70">
        <f>(G25-G26)*(1-'Fane 15. Nøgletal'!C31)*(1+'Fane 15. Nøgletal'!C10)+G26*(1-'Fane 15. Nøgletal'!C31)*(1+'Fane 15. Nøgletal'!C11)+G27*(1-'Fane 15. Nøgletal'!C31)*(1+'Fane 15. Nøgletal'!C12)</f>
        <v>66560190.941152856</v>
      </c>
      <c r="H32" s="14" t="s">
        <v>3</v>
      </c>
      <c r="I32" s="1"/>
    </row>
    <row r="33" spans="1:9" x14ac:dyDescent="0.25">
      <c r="A33" s="1"/>
      <c r="B33" s="147" t="s">
        <v>160</v>
      </c>
      <c r="C33" s="154"/>
      <c r="D33" s="154"/>
      <c r="E33" s="154"/>
      <c r="F33" s="155"/>
      <c r="G33" s="70">
        <f>G26*(1-'Fane 15. Nøgletal'!C31)*(1+'Fane 15. Nøgletal'!C11)</f>
        <v>0</v>
      </c>
      <c r="H33" s="14" t="s">
        <v>3</v>
      </c>
      <c r="I33" s="1"/>
    </row>
    <row r="34" spans="1:9" x14ac:dyDescent="0.25">
      <c r="A34" s="1"/>
      <c r="B34" s="147" t="s">
        <v>107</v>
      </c>
      <c r="C34" s="154"/>
      <c r="D34" s="154"/>
      <c r="E34" s="154"/>
      <c r="F34" s="155"/>
      <c r="G34" s="70">
        <f>G27*(1-'Fane 15. Nøgletal'!C31)*(1+'Fane 15. Nøgletal'!C12)</f>
        <v>1115372.4019418021</v>
      </c>
      <c r="H34" s="14" t="s">
        <v>3</v>
      </c>
      <c r="I34" s="1"/>
    </row>
    <row r="35" spans="1:9" x14ac:dyDescent="0.25">
      <c r="A35" s="1"/>
      <c r="B35" s="144" t="s">
        <v>123</v>
      </c>
      <c r="C35" s="145"/>
      <c r="D35" s="145"/>
      <c r="E35" s="145"/>
      <c r="F35" s="146"/>
      <c r="G35" s="70">
        <v>817081.79809535993</v>
      </c>
      <c r="H35" s="14" t="s">
        <v>3</v>
      </c>
      <c r="I35" s="1"/>
    </row>
    <row r="36" spans="1:9" x14ac:dyDescent="0.25">
      <c r="A36" s="1"/>
      <c r="B36" s="144" t="s">
        <v>54</v>
      </c>
      <c r="C36" s="145"/>
      <c r="D36" s="145"/>
      <c r="E36" s="145"/>
      <c r="F36" s="146"/>
      <c r="G36" s="70">
        <f>SUM(G32,G35)*'Fane 15. Nøgletal'!C31</f>
        <v>1347545.4547849644</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4" t="s">
        <v>166</v>
      </c>
      <c r="C40" s="145"/>
      <c r="D40" s="145"/>
      <c r="E40" s="145"/>
      <c r="F40" s="146"/>
      <c r="G40" s="70">
        <f>(SUM(G32,G35)-G36)*(1+'Fane 15. Nøgletal'!C14)</f>
        <v>66247625.384501986</v>
      </c>
      <c r="H40" s="14" t="s">
        <v>3</v>
      </c>
      <c r="I40" s="1"/>
    </row>
    <row r="41" spans="1:9" x14ac:dyDescent="0.25">
      <c r="A41" s="1"/>
      <c r="B41" s="144" t="s">
        <v>165</v>
      </c>
      <c r="C41" s="145"/>
      <c r="D41" s="145"/>
      <c r="E41" s="145"/>
      <c r="F41" s="146"/>
      <c r="G41" s="73">
        <v>1544709.8404128503</v>
      </c>
      <c r="H41" s="14" t="s">
        <v>3</v>
      </c>
      <c r="I41" s="1"/>
    </row>
    <row r="42" spans="1:9" x14ac:dyDescent="0.25">
      <c r="A42" s="1"/>
      <c r="B42" s="144" t="s">
        <v>164</v>
      </c>
      <c r="C42" s="145"/>
      <c r="D42" s="145"/>
      <c r="E42" s="145"/>
      <c r="F42" s="146"/>
      <c r="G42" s="70">
        <f>(G40+G41)*'Fane 15. Nøgletal'!C31</f>
        <v>1355846.7044982966</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4" t="s">
        <v>175</v>
      </c>
      <c r="C46" s="145"/>
      <c r="D46" s="145"/>
      <c r="E46" s="145"/>
      <c r="F46" s="146"/>
      <c r="G46" s="70">
        <f>(G40+G41-G42)*(1+'Fane 15. Nøgletal'!C14)</f>
        <v>66655728.932533912</v>
      </c>
      <c r="H46" s="14" t="s">
        <v>3</v>
      </c>
      <c r="I46" s="1"/>
    </row>
    <row r="47" spans="1:9" x14ac:dyDescent="0.25">
      <c r="A47" s="1"/>
      <c r="B47" s="147" t="s">
        <v>238</v>
      </c>
      <c r="C47" s="148"/>
      <c r="D47" s="148"/>
      <c r="E47" s="148"/>
      <c r="F47" s="149"/>
      <c r="G47" s="73">
        <f>('Fane 2.1. Økonomisk ramme 2023'!C12+'Fane 2.1. Økonomisk ramme 2023'!C14+'Fane 2.1. Økonomisk ramme 2023'!C16)*(1+'Fane 15. Nøgletal'!C15)</f>
        <v>2088948.7064059204</v>
      </c>
      <c r="H47" s="14" t="s">
        <v>3</v>
      </c>
      <c r="I47" s="1"/>
    </row>
    <row r="48" spans="1:9" x14ac:dyDescent="0.25">
      <c r="A48" s="1"/>
      <c r="B48" s="144" t="s">
        <v>176</v>
      </c>
      <c r="C48" s="145"/>
      <c r="D48" s="145"/>
      <c r="E48" s="145"/>
      <c r="F48" s="146"/>
      <c r="G48" s="70">
        <f>G46*'Fane 15. Nøgletal'!C31+'Fane 4.1. Gen. krav - drift'!G47*'Fane 15. Nøgletal'!C31</f>
        <v>1374893.5527787968</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4" t="s">
        <v>125</v>
      </c>
      <c r="C53" s="145"/>
      <c r="D53" s="145"/>
      <c r="E53" s="145"/>
      <c r="F53" s="146"/>
      <c r="G53" s="70">
        <f>(G46+G47-G48)*(1+'Fane 15. Nøgletal'!C15)</f>
        <v>69768148.399628371</v>
      </c>
      <c r="H53" s="14" t="s">
        <v>3</v>
      </c>
      <c r="I53" s="1"/>
    </row>
    <row r="54" spans="1:9" x14ac:dyDescent="0.25">
      <c r="A54" s="1"/>
      <c r="B54" s="144" t="s">
        <v>126</v>
      </c>
      <c r="C54" s="145"/>
      <c r="D54" s="145"/>
      <c r="E54" s="145"/>
      <c r="F54" s="146"/>
      <c r="G54" s="70">
        <f>(G53)*'Fane 15. Nøgletal'!C31</f>
        <v>1395362.9679925675</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89" t="s">
        <v>152</v>
      </c>
      <c r="C57" s="90"/>
      <c r="D57" s="90"/>
      <c r="E57" s="90"/>
      <c r="F57" s="90"/>
      <c r="G57" s="75"/>
      <c r="H57" s="91"/>
      <c r="I57" s="1"/>
    </row>
    <row r="58" spans="1:9" x14ac:dyDescent="0.25">
      <c r="A58" s="1"/>
      <c r="B58" s="86" t="s">
        <v>161</v>
      </c>
      <c r="C58" s="87"/>
      <c r="D58" s="87"/>
      <c r="E58" s="87"/>
      <c r="F58" s="88"/>
      <c r="G58" s="70">
        <f>(G53-G54)*(1+'Fane 15. Nøgletal'!C15)</f>
        <v>70806856.593002036</v>
      </c>
      <c r="H58" s="14" t="s">
        <v>3</v>
      </c>
      <c r="I58" s="1"/>
    </row>
    <row r="59" spans="1:9" x14ac:dyDescent="0.25">
      <c r="A59" s="1"/>
      <c r="B59" s="86" t="s">
        <v>162</v>
      </c>
      <c r="C59" s="87"/>
      <c r="D59" s="87"/>
      <c r="E59" s="87"/>
      <c r="F59" s="88"/>
      <c r="G59" s="70">
        <f>(G58)*'Fane 15. Nøgletal'!C31</f>
        <v>1416137.1318600408</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89" t="s">
        <v>204</v>
      </c>
      <c r="C62" s="90"/>
      <c r="D62" s="90"/>
      <c r="E62" s="90"/>
      <c r="F62" s="90"/>
      <c r="G62" s="75"/>
      <c r="H62" s="91"/>
      <c r="I62" s="1"/>
    </row>
    <row r="63" spans="1:9" x14ac:dyDescent="0.25">
      <c r="A63" s="1"/>
      <c r="B63" s="86" t="s">
        <v>205</v>
      </c>
      <c r="C63" s="87"/>
      <c r="D63" s="87"/>
      <c r="E63" s="87"/>
      <c r="F63" s="88"/>
      <c r="G63" s="70">
        <f>(G58-G59)*(1+'Fane 15. Nøgletal'!C15)</f>
        <v>71861029.07395865</v>
      </c>
      <c r="H63" s="14" t="s">
        <v>3</v>
      </c>
      <c r="I63" s="1"/>
    </row>
    <row r="64" spans="1:9" x14ac:dyDescent="0.25">
      <c r="A64" s="1"/>
      <c r="B64" s="86" t="s">
        <v>206</v>
      </c>
      <c r="C64" s="87"/>
      <c r="D64" s="87"/>
      <c r="E64" s="87"/>
      <c r="F64" s="88"/>
      <c r="G64" s="70">
        <f>(G63)*'Fane 15. Nøgletal'!C31</f>
        <v>1437220.5814791729</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3q8I8t5M1De6fIY8p0raBM9jtPbRK7UuY6vDHju5k0Cx6z43vT8H97IGTVXELNDKecphuABYzHhhenKxJV4/1w==" saltValue="2mJtmZJOUZdmOn0djGFUww=="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3.140625" style="2" customWidth="1"/>
    <col min="2" max="5" width="9" style="2"/>
    <col min="6" max="6" width="28.5703125" style="2" customWidth="1"/>
    <col min="7" max="7" width="12" style="2" customWidth="1"/>
    <col min="8" max="8" width="3.5703125" style="2" customWidth="1"/>
    <col min="9" max="9" width="3.14062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4" t="s">
        <v>168</v>
      </c>
      <c r="C6" s="145"/>
      <c r="D6" s="145"/>
      <c r="E6" s="145"/>
      <c r="F6" s="146"/>
      <c r="G6" s="70">
        <v>122877427.84155519</v>
      </c>
      <c r="H6" s="14" t="s">
        <v>3</v>
      </c>
      <c r="I6" s="1"/>
    </row>
    <row r="7" spans="1:9" x14ac:dyDescent="0.25">
      <c r="A7" s="1"/>
      <c r="B7" s="144" t="s">
        <v>163</v>
      </c>
      <c r="C7" s="145"/>
      <c r="D7" s="145"/>
      <c r="E7" s="145"/>
      <c r="F7" s="146"/>
      <c r="G7" s="70">
        <f>G6*'Fane 15. Nøgletal'!C20</f>
        <v>1118184.5933581523</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4" t="s">
        <v>169</v>
      </c>
      <c r="C11" s="145"/>
      <c r="D11" s="145"/>
      <c r="E11" s="145"/>
      <c r="F11" s="146"/>
      <c r="G11" s="70">
        <f>(G6-G7)*(1+'Fane 15. Nøgletal'!C10)</f>
        <v>123890030.0050405</v>
      </c>
      <c r="H11" s="14" t="s">
        <v>3</v>
      </c>
      <c r="I11" s="1"/>
    </row>
    <row r="12" spans="1:9" x14ac:dyDescent="0.25">
      <c r="A12" s="1"/>
      <c r="B12" s="144" t="s">
        <v>111</v>
      </c>
      <c r="C12" s="145"/>
      <c r="D12" s="145"/>
      <c r="E12" s="145"/>
      <c r="F12" s="146"/>
      <c r="G12" s="70">
        <v>1027619.3074171473</v>
      </c>
      <c r="H12" s="14" t="s">
        <v>3</v>
      </c>
      <c r="I12" s="1"/>
    </row>
    <row r="13" spans="1:9" x14ac:dyDescent="0.25">
      <c r="A13" s="1"/>
      <c r="B13" s="156" t="s">
        <v>170</v>
      </c>
      <c r="C13" s="154"/>
      <c r="D13" s="154"/>
      <c r="E13" s="154"/>
      <c r="F13" s="155"/>
      <c r="G13" s="70">
        <v>0</v>
      </c>
      <c r="H13" s="14" t="s">
        <v>3</v>
      </c>
      <c r="I13" s="1"/>
    </row>
    <row r="14" spans="1:9" x14ac:dyDescent="0.25">
      <c r="A14" s="1"/>
      <c r="B14" s="144" t="s">
        <v>56</v>
      </c>
      <c r="C14" s="145"/>
      <c r="D14" s="145"/>
      <c r="E14" s="145"/>
      <c r="F14" s="146"/>
      <c r="G14" s="70">
        <f>SUM(G11:G13)*'Fane 15. Nøgletal'!C21</f>
        <v>2211042.3928305004</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4" t="s">
        <v>58</v>
      </c>
      <c r="C18" s="145"/>
      <c r="D18" s="145"/>
      <c r="E18" s="145"/>
      <c r="F18" s="146"/>
      <c r="G18" s="70">
        <f>(G11+G12+G13-G14)*(1+'Fane 15. Nøgletal'!C10)</f>
        <v>124853972.54072063</v>
      </c>
      <c r="H18" s="14" t="s">
        <v>3</v>
      </c>
      <c r="I18" s="1"/>
    </row>
    <row r="19" spans="1:9" x14ac:dyDescent="0.25">
      <c r="A19" s="1"/>
      <c r="B19" s="156" t="s">
        <v>59</v>
      </c>
      <c r="C19" s="154"/>
      <c r="D19" s="154"/>
      <c r="E19" s="154"/>
      <c r="F19" s="155"/>
      <c r="G19" s="70">
        <v>797971.80858308985</v>
      </c>
      <c r="H19" s="14" t="s">
        <v>3</v>
      </c>
      <c r="I19" s="1"/>
    </row>
    <row r="20" spans="1:9" x14ac:dyDescent="0.25">
      <c r="A20" s="1"/>
      <c r="B20" s="144" t="s">
        <v>60</v>
      </c>
      <c r="C20" s="145"/>
      <c r="D20" s="145"/>
      <c r="E20" s="145"/>
      <c r="F20" s="146"/>
      <c r="G20" s="70">
        <f>G18*'Fane 15. Nøgletal'!C21+G19*'Fane 15. Nøgletal'!C22</f>
        <v>2216857.668705428</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4" t="s">
        <v>61</v>
      </c>
      <c r="C24" s="145"/>
      <c r="D24" s="145"/>
      <c r="E24" s="145"/>
      <c r="F24" s="146"/>
      <c r="G24" s="70">
        <f>G18*(1-'Fane 15. Nøgletal'!C21)*(1+'Fane 15. Nøgletal'!C10)+G19*(1-'Fane 15. Nøgletal'!C22)*(1+'Fane 15. Nøgletal'!C11)</f>
        <v>125594726.07983646</v>
      </c>
      <c r="H24" s="14" t="s">
        <v>3</v>
      </c>
      <c r="I24" s="1"/>
    </row>
    <row r="25" spans="1:9" x14ac:dyDescent="0.25">
      <c r="A25" s="1"/>
      <c r="B25" s="147" t="s">
        <v>171</v>
      </c>
      <c r="C25" s="154"/>
      <c r="D25" s="154"/>
      <c r="E25" s="154"/>
      <c r="F25" s="155"/>
      <c r="G25" s="70">
        <f>G19*(1-'Fane 15. Nøgletal'!C22)*(1+'Fane 15. Nøgletal'!C11)</f>
        <v>804397.85161845514</v>
      </c>
      <c r="H25" s="14" t="s">
        <v>3</v>
      </c>
      <c r="I25" s="1"/>
    </row>
    <row r="26" spans="1:9" x14ac:dyDescent="0.25">
      <c r="A26" s="1"/>
      <c r="B26" s="156" t="s">
        <v>62</v>
      </c>
      <c r="C26" s="154"/>
      <c r="D26" s="154"/>
      <c r="E26" s="154"/>
      <c r="F26" s="155"/>
      <c r="G26" s="70">
        <v>1676052.1596694316</v>
      </c>
      <c r="H26" s="14" t="s">
        <v>3</v>
      </c>
      <c r="I26" s="1"/>
    </row>
    <row r="27" spans="1:9" x14ac:dyDescent="0.25">
      <c r="A27" s="1"/>
      <c r="B27" s="144" t="s">
        <v>63</v>
      </c>
      <c r="C27" s="145"/>
      <c r="D27" s="145"/>
      <c r="E27" s="145"/>
      <c r="F27" s="146"/>
      <c r="G27" s="70">
        <f>(G24-G25)*'Fane 15. Nøgletal'!C22+G25*'Fane 15. Nøgletal'!C23+G26*'Fane 15. Nøgletal'!C24</f>
        <v>1154612.1889623699</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4" t="s">
        <v>65</v>
      </c>
      <c r="C31" s="145"/>
      <c r="D31" s="145"/>
      <c r="E31" s="145"/>
      <c r="F31" s="146"/>
      <c r="G31" s="70">
        <f>(G24-G25)*(1-'Fane 15. Nøgletal'!C21)*(1+'Fane 15. Nøgletal'!C10)+G25*(1-'Fane 15. Nøgletal'!C22)*(1+'Fane 15. Nøgletal'!C11)+G26*(1-'Fane 15. Nøgletal'!C23)*(1+'Fane 15. Nøgletal'!C12)</f>
        <v>127198124.79000729</v>
      </c>
      <c r="H31" s="14" t="s">
        <v>3</v>
      </c>
      <c r="I31" s="1"/>
    </row>
    <row r="32" spans="1:9" x14ac:dyDescent="0.25">
      <c r="A32" s="1"/>
      <c r="B32" s="147" t="s">
        <v>172</v>
      </c>
      <c r="C32" s="154"/>
      <c r="D32" s="154"/>
      <c r="E32" s="154"/>
      <c r="F32" s="155"/>
      <c r="G32" s="70">
        <f>G25*(1-'Fane 15. Nøgletal'!C22)*(1+'Fane 15. Nøgletal'!C11)</f>
        <v>810875.64338560286</v>
      </c>
      <c r="H32" s="14" t="s">
        <v>3</v>
      </c>
      <c r="I32" s="1"/>
    </row>
    <row r="33" spans="1:9" x14ac:dyDescent="0.25">
      <c r="A33" s="1"/>
      <c r="B33" s="147" t="s">
        <v>106</v>
      </c>
      <c r="C33" s="154"/>
      <c r="D33" s="154"/>
      <c r="E33" s="154"/>
      <c r="F33" s="155"/>
      <c r="G33" s="70">
        <f>G26*(1-'Fane 15. Nøgletal'!C23)*(1+'Fane 15. Nøgletal'!C12)</f>
        <v>1660532.7882180158</v>
      </c>
      <c r="H33" s="14" t="s">
        <v>3</v>
      </c>
      <c r="I33" s="1"/>
    </row>
    <row r="34" spans="1:9" x14ac:dyDescent="0.25">
      <c r="A34" s="1"/>
      <c r="B34" s="144" t="s">
        <v>127</v>
      </c>
      <c r="C34" s="145"/>
      <c r="D34" s="145"/>
      <c r="E34" s="145"/>
      <c r="F34" s="146"/>
      <c r="G34" s="70">
        <v>2287558.3488634801</v>
      </c>
      <c r="H34" s="14" t="s">
        <v>3</v>
      </c>
      <c r="I34" s="1"/>
    </row>
    <row r="35" spans="1:9" x14ac:dyDescent="0.25">
      <c r="A35" s="1"/>
      <c r="B35" s="144" t="s">
        <v>66</v>
      </c>
      <c r="C35" s="145"/>
      <c r="D35" s="145"/>
      <c r="E35" s="145"/>
      <c r="F35" s="146"/>
      <c r="G35" s="70">
        <f>(G31-SUM(G32:G33))*'Fane 15. Nøgletal'!C21+G32*'Fane 15. Nøgletal'!C22+G33*'Fane 15. Nøgletal'!C23+G34*'Fane 15. Nøgletal'!C24</f>
        <v>2324784.4834203371</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4" t="s">
        <v>173</v>
      </c>
      <c r="C39" s="145"/>
      <c r="D39" s="145"/>
      <c r="E39" s="145"/>
      <c r="F39" s="146"/>
      <c r="G39" s="70">
        <f>(SUM(G31,G34)-G35)*(1+'Fane 15. Nøgletal'!C14)</f>
        <v>127580529.62101343</v>
      </c>
      <c r="H39" s="14" t="s">
        <v>3</v>
      </c>
      <c r="I39" s="1"/>
    </row>
    <row r="40" spans="1:9" x14ac:dyDescent="0.25">
      <c r="A40" s="1"/>
      <c r="B40" s="144" t="s">
        <v>141</v>
      </c>
      <c r="C40" s="145"/>
      <c r="D40" s="145"/>
      <c r="E40" s="145"/>
      <c r="F40" s="146"/>
      <c r="G40" s="70">
        <v>554162.44699547009</v>
      </c>
      <c r="H40" s="14" t="s">
        <v>3</v>
      </c>
      <c r="I40" s="1"/>
    </row>
    <row r="41" spans="1:9" x14ac:dyDescent="0.25">
      <c r="A41" s="1"/>
      <c r="B41" s="144" t="s">
        <v>142</v>
      </c>
      <c r="C41" s="145"/>
      <c r="D41" s="145"/>
      <c r="E41" s="145"/>
      <c r="F41" s="146"/>
      <c r="G41" s="70">
        <f>(G39+G40)*'Fane 15. Nøgletal'!C25</f>
        <v>1896393.4426065318</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239</v>
      </c>
      <c r="C44" s="151"/>
      <c r="D44" s="151"/>
      <c r="E44" s="151"/>
      <c r="F44" s="151"/>
      <c r="G44" s="152"/>
      <c r="H44" s="153"/>
      <c r="I44" s="1"/>
    </row>
    <row r="45" spans="1:9" x14ac:dyDescent="0.25">
      <c r="A45" s="1"/>
      <c r="B45" s="144" t="s">
        <v>67</v>
      </c>
      <c r="C45" s="145"/>
      <c r="D45" s="145"/>
      <c r="E45" s="145"/>
      <c r="F45" s="146"/>
      <c r="G45" s="70">
        <f>(G39+G40-G41)*(1+'Fane 15. Nøgletal'!C14)</f>
        <v>126654885.01086619</v>
      </c>
      <c r="H45" s="14" t="s">
        <v>3</v>
      </c>
      <c r="I45" s="1"/>
    </row>
    <row r="46" spans="1:9" x14ac:dyDescent="0.25">
      <c r="A46" s="1"/>
      <c r="B46" s="147" t="s">
        <v>243</v>
      </c>
      <c r="C46" s="148"/>
      <c r="D46" s="148"/>
      <c r="E46" s="148"/>
      <c r="F46" s="149"/>
      <c r="G46" s="73">
        <f>(SUM('Fane 2.1. Økonomisk ramme 2023'!C13,'Fane 2.1. Økonomisk ramme 2023'!C15,'Fane 2.1. Økonomisk ramme 2023'!C17))*(1+'Fane 15. Nøgletal'!C15)</f>
        <v>2355983.4268396804</v>
      </c>
      <c r="H46" s="14" t="s">
        <v>3</v>
      </c>
      <c r="I46" s="1"/>
    </row>
    <row r="47" spans="1:9" x14ac:dyDescent="0.25">
      <c r="A47" s="1"/>
      <c r="B47" s="144" t="s">
        <v>177</v>
      </c>
      <c r="C47" s="145"/>
      <c r="D47" s="145"/>
      <c r="E47" s="145"/>
      <c r="F47" s="146"/>
      <c r="G47" s="70">
        <f>G45*'Fane 15. Nøgletal'!C25+G46*'Fane 15. Nøgletal'!C26</f>
        <v>1874492.2981608198</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4" t="s">
        <v>129</v>
      </c>
      <c r="C51" s="145"/>
      <c r="D51" s="145"/>
      <c r="E51" s="145"/>
      <c r="F51" s="146"/>
      <c r="G51" s="70">
        <f>(G45+G46-G47)*(1+'Fane 15. Nøgletal'!C15)</f>
        <v>131662431.13011287</v>
      </c>
      <c r="H51" s="14" t="s">
        <v>3</v>
      </c>
      <c r="I51" s="1"/>
    </row>
    <row r="52" spans="1:9" x14ac:dyDescent="0.25">
      <c r="A52" s="1"/>
      <c r="B52" s="144" t="s">
        <v>130</v>
      </c>
      <c r="C52" s="145"/>
      <c r="D52" s="145"/>
      <c r="E52" s="145"/>
      <c r="F52" s="146"/>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4" t="s">
        <v>129</v>
      </c>
      <c r="C56" s="145"/>
      <c r="D56" s="145"/>
      <c r="E56" s="145"/>
      <c r="F56" s="146"/>
      <c r="G56" s="70">
        <f>(G51-G52)*(1+'Fane 15. Nøgletal'!C15)</f>
        <v>136349613.67834491</v>
      </c>
      <c r="H56" s="14" t="s">
        <v>3</v>
      </c>
      <c r="I56" s="1"/>
    </row>
    <row r="57" spans="1:9" x14ac:dyDescent="0.25">
      <c r="A57" s="1"/>
      <c r="B57" s="144" t="s">
        <v>174</v>
      </c>
      <c r="C57" s="145"/>
      <c r="D57" s="145"/>
      <c r="E57" s="145"/>
      <c r="F57" s="146"/>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207</v>
      </c>
      <c r="C60" s="151"/>
      <c r="D60" s="151"/>
      <c r="E60" s="151"/>
      <c r="F60" s="151"/>
      <c r="G60" s="152"/>
      <c r="H60" s="153"/>
      <c r="I60" s="1"/>
    </row>
    <row r="61" spans="1:9" x14ac:dyDescent="0.25">
      <c r="A61" s="1"/>
      <c r="B61" s="144" t="s">
        <v>208</v>
      </c>
      <c r="C61" s="145"/>
      <c r="D61" s="145"/>
      <c r="E61" s="145"/>
      <c r="F61" s="146"/>
      <c r="G61" s="70">
        <f>(G56-G57)*(1+'Fane 15. Nøgletal'!C15)</f>
        <v>141203659.92529398</v>
      </c>
      <c r="H61" s="14" t="s">
        <v>3</v>
      </c>
      <c r="I61" s="1"/>
    </row>
    <row r="62" spans="1:9" x14ac:dyDescent="0.25">
      <c r="A62" s="1"/>
      <c r="B62" s="144" t="s">
        <v>209</v>
      </c>
      <c r="C62" s="145"/>
      <c r="D62" s="145"/>
      <c r="E62" s="145"/>
      <c r="F62" s="146"/>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4rSb9Kalv1C/bWWh4WMkRranyn6NHmVNLCSknXRBMTJObxPe/5D73BbBCKAAUJ+5w8AxBZFdNV/QExyRU2PKA==" saltValue="LjALb87W0eEzxTYHAa0URA=="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4" t="s">
        <v>143</v>
      </c>
      <c r="C9" s="145"/>
      <c r="D9" s="145"/>
      <c r="E9" s="145"/>
      <c r="F9" s="146"/>
      <c r="G9" s="98">
        <v>1.0854159775311107E-2</v>
      </c>
      <c r="H9" s="1"/>
    </row>
    <row r="10" spans="1:8" x14ac:dyDescent="0.25">
      <c r="A10" s="1"/>
      <c r="B10" s="32"/>
      <c r="C10" s="33"/>
      <c r="D10" s="33"/>
      <c r="E10" s="33"/>
      <c r="F10" s="33"/>
      <c r="G10" s="20"/>
      <c r="H10" s="1"/>
    </row>
    <row r="11" spans="1:8" ht="25.5" customHeight="1" x14ac:dyDescent="0.25">
      <c r="A11" s="1"/>
      <c r="B11" s="158" t="s">
        <v>241</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LkOaaTekze3oml2O85kB3MOuYWiC7ohPOHrISlhEfYjMkrARWHODrSGmR+LlY3HZ7xhNpCAER1nG1D6hkFlfsg==" saltValue="v0LA4t3Stt+7/G2VUEyk2Q=="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2022-12-01T08:29:13Z</dcterms:modified>
</cp:coreProperties>
</file>