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aderslev Spildevand AS (S034)\ØR2024\"/>
    </mc:Choice>
  </mc:AlternateContent>
  <xr:revisionPtr revIDLastSave="0" documentId="13_ncr:1_{8EE22369-92A0-4ED4-9641-34948AA5795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G27" i="30" l="1"/>
  <c r="G25" i="30"/>
  <c r="G21" i="30"/>
  <c r="G19" i="30"/>
  <c r="E16" i="44" l="1"/>
  <c r="E17" i="44"/>
  <c r="E25" i="44" l="1"/>
  <c r="E18" i="44"/>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23" i="36" l="1"/>
  <c r="G25" i="36" s="1"/>
  <c r="G29" i="36" l="1"/>
  <c r="G31" i="36" s="1"/>
  <c r="C10" i="37" l="1"/>
  <c r="C28" i="37" s="1"/>
  <c r="C29" i="37" s="1"/>
  <c r="C10" i="2" l="1"/>
  <c r="G53" i="30" s="1"/>
  <c r="G35" i="36"/>
  <c r="G37" i="36" l="1"/>
  <c r="G41" i="36" l="1"/>
  <c r="G43" i="36" l="1"/>
  <c r="G31" i="30"/>
  <c r="E10" i="37"/>
  <c r="E28" i="37" s="1"/>
  <c r="E29" i="37" s="1"/>
  <c r="G53" i="36" l="1"/>
  <c r="G33" i="30"/>
  <c r="G37" i="30" s="1"/>
  <c r="G39" i="30" l="1"/>
  <c r="G43" i="30" s="1"/>
  <c r="C11" i="2"/>
  <c r="G45" i="30" l="1"/>
  <c r="G52" i="30" s="1"/>
  <c r="G54" i="30" s="1"/>
  <c r="G54" i="36"/>
  <c r="G55" i="36" l="1"/>
  <c r="C19" i="2" s="1"/>
  <c r="G59" i="36"/>
  <c r="G60" i="36" s="1"/>
  <c r="G58" i="30"/>
  <c r="C16" i="2"/>
  <c r="C17" i="2" s="1"/>
  <c r="C13" i="15" l="1"/>
  <c r="C18" i="2"/>
  <c r="C20" i="2" s="1"/>
  <c r="G64" i="36"/>
  <c r="G65" i="36" l="1"/>
  <c r="C13" i="22" s="1"/>
  <c r="G59" i="30"/>
  <c r="G63" i="30" s="1"/>
  <c r="G69" i="36" l="1"/>
  <c r="G64" i="30"/>
  <c r="G68" i="30" s="1"/>
  <c r="C12" i="15"/>
  <c r="C37" i="2"/>
  <c r="G70" i="36" l="1"/>
  <c r="C13" i="23" s="1"/>
  <c r="G69" i="30"/>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<sst xmlns="http://schemas.openxmlformats.org/spreadsheetml/2006/main" count="688" uniqueCount="307">
  <si>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</si>
  <si>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</si>
  <si>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</si>
  <si>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</si>
  <si>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</si>
  <si>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</si>
  <si>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</si>
  <si>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</si>
  <si>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</si>
  <si>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</si>
  <si>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</si>
  <si>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</si>
  <si>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</si>
  <si>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</si>
  <si>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</si>
  <si>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</si>
  <si>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</si>
  <si>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</si>
  <si>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</si>
  <si>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</si>
  <si>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</si>
  <si>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</si>
  <si>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</si>
  <si>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</si>
  <si>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</si>
  <si>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</si>
  <si>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</si>
  <si>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</si>
  <si>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</si>
  <si>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</si>
  <si>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</si>
  <si>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</si>
  <si>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</si>
  <si>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</si>
  <si>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</si>
  <si>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</si>
  <si>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</si>
  <si>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</si>
  <si>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</si>
  <si>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</si>
  <si>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</si>
  <si>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</si>
  <si>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</si>
  <si>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</si>
  <si>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</si>
  <si>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</si>
  <si>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</si>
  <si>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</si>
  <si>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</si>
  <si>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</si>
  <si>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</si>
  <si>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</si>
  <si>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</si>
  <si>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</si>
  <si>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</si>
  <si>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</si>
  <si>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</si>
  <si>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</si>
  <si>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</si>
  <si>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</si>
  <si>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</si>
  <si>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</si>
  <si>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</si>
  <si>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</si>
  <si>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</si>
  <si>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</si>
  <si>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</si>
  <si>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</si>
  <si>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</si>
  <si>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</si>
  <si>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</si>
  <si>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</si>
  <si>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</si>
  <si>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</si>
  <si>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</si>
  <si>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</si>
  <si>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</si>
  <si>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</si>
  <si>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</si>
  <si>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</si>
  <si>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</si>
  <si>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</si>
  <si>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</si>
  <si>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</si>
  <si>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</si>
  <si>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</si>
  <si>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</si>
  <si>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</si>
  <si>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</si>
  <si>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</si>
  <si>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</si>
  <si>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</si>
  <si>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</si>
  <si>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</si>
  <si>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</si>
  <si>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</si>
  <si>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</si>
  <si>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</si>
  <si>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</si>
  <si>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</si>
  <si>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</si>
  <si>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</si>
  <si>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</si>
  <si>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</si>
  <si>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</si>
  <si>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</si>
  <si>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</si>
  <si>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</si>
  <si>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</si>
  <si>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</si>
  <si>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</si>
  <si>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</si>
  <si>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</si>
  <si>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</si>
  <si>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</si>
  <si>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</si>
  <si>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</si>
  <si>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</si>
  <si>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</si>
  <si>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</si>
  <si>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</si>
  <si>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</si>
  <si>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</si>
  <si>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</si>
  <si>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</si>
  <si>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</si>
  <si>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</si>
  <si>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</si>
  <si>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</si>
  <si>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</si>
  <si>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</si>
  <si>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</si>
  <si>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</si>
  <si>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</si>
  <si>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</si>
  <si>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</si>
  <si>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</si>
  <si>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</si>
  <si>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</si>
  <si>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</si>
  <si>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</si>
  <si>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</si>
  <si>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</si>
  <si>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</si>
  <si>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</si>
  <si>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</si>
  <si>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</si>
  <si>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</si>
  <si>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</si>
  <si>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</si>
  <si>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</si>
  <si>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</si>
  <si>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</si>
  <si>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</si>
  <si>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</si>
  <si>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</si>
  <si>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</si>
  <si>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</si>
  <si>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</si>
  <si>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</si>
  <si>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</si>
  <si>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</si>
  <si>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</si>
  <si>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</si>
  <si>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</si>
  <si>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</si>
  <si>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</si>
  <si>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</si>
  <si>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</si>
  <si>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</si>
  <si>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</si>
  <si>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</si>
  <si>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</si>
  <si>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</si>
  <si>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</si>
  <si>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</si>
  <si>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</si>
  <si>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</si>
  <si>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</si>
  <si>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</si>
  <si>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</si>
  <si>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</si>
  <si>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</si>
  <si>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</si>
  <si>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</si>
  <si>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</si>
  <si>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</si>
  <si>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</si>
  <si>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</si>
  <si>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</si>
  <si>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</si>
  <si>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</si>
  <si>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</si>
  <si>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</si>
  <si>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</si>
  <si>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</si>
  <si>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</si>
  <si>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</si>
  <si>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</si>
  <si>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</si>
  <si>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</si>
  <si>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</si>
  <si>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</si>
  <si>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</si>
  <si>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</si>
  <si>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</si>
  <si>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</si>
  <si>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</si>
  <si>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</si>
  <si>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</si>
  <si>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</si>
  <si>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</si>
  <si>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</si>
  <si>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</si>
  <si>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</si>
  <si>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</si>
  <si>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</si>
  <si>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</si>
  <si>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</si>
  <si>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</si>
  <si>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</si>
  <si>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</si>
  <si>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</si>
  <si>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</si>
  <si>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</si>
  <si>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</si>
  <si>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</si>
  <si>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Faktisk periodevis driftsomkostning i 2022</t>
  </si>
  <si>
    <t>Tidligere godkendt tillæg indregnet i den økonomiske ramme for 2022</t>
  </si>
  <si>
    <t>Faktisk omkostning til medfinansiering af klimatilpasningsprojekter i 2022</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</si>
  <si>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</si>
  <si>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</si>
  <si>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</si>
  <si>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</si>
  <si>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</si>
  <si>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</si>
  <si>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</si>
  <si>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</si>
  <si>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</si>
  <si>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</si>
  <si>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</si>
  <si>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</si>
  <si>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</si>
  <si>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</si>
  <si>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</si>
  <si>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</si>
  <si>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</si>
  <si>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</si>
  <si>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</si>
  <si>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</si>
  <si>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</si>
  <si>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</si>
  <si>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</si>
  <si>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</si>
  <si>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</si>
  <si>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</si>
  <si>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</si>
  <si>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</si>
  <si>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</si>
  <si>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</si>
  <si>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</si>
  <si>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</si>
  <si>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</si>
  <si>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</si>
  <si>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</si>
  <si>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</si>
  <si>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</si>
  <si>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</si>
  <si>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</si>
  <si>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</si>
  <si>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</si>
  <si>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</si>
  <si>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</si>
  <si>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</si>
  <si>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</si>
  <si>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</si>
  <si>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</si>
  <si>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</si>
  <si>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</si>
  <si>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</si>
  <si>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</si>
  <si>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</si>
  <si>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</si>
  <si>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</si>
  <si>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</si>
  <si>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</si>
  <si>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150510025 Server og IT-switches, SPV</t>
  </si>
  <si>
    <t>205200005 Jomfrustien – Klimatilpasning, medfinansiering</t>
  </si>
  <si>
    <t>2150000001-7 Undersøgelse af mulig separering</t>
  </si>
  <si>
    <t>261500008+10+40+41 VOJB-Projekter</t>
  </si>
  <si>
    <t>261500045 Separering, øvrige områder i Haderslev kom.</t>
  </si>
  <si>
    <t>262500146 Gammelbro Camping, udskift. af SPV-ledning</t>
  </si>
  <si>
    <t>Overvågning af overløbsbygværker, samlet</t>
  </si>
  <si>
    <t>Projekter med Miljømål, samlet</t>
  </si>
  <si>
    <t>261500063 Ribe Landevej 25A – omlægning af SPV-ledning</t>
  </si>
  <si>
    <t>260500026 Tilslutning åbne land, generel sag</t>
  </si>
  <si>
    <t>260500085 Nye tilslutninger, SPV, 2022</t>
  </si>
  <si>
    <t>260600008 Vonsbæk åbne land, opfølg.</t>
  </si>
  <si>
    <t>Flyvestation Skrydstrup- tilslutning</t>
  </si>
  <si>
    <t>Udvidelse – Åbne land, samlet ansøgning</t>
  </si>
  <si>
    <t>Udvidelse af Forsyningsområdet</t>
  </si>
  <si>
    <t>214501134 Udledningstilladelse</t>
  </si>
  <si>
    <t>Korrektion af periodevise driftsomkostninger efter prisloftsbekendtgørelsen</t>
  </si>
  <si>
    <t>Korrektion af periodevise driftsomk. efter prisloftsbekendtgørelsen</t>
  </si>
  <si>
    <t>Korrektion af periodevise driftsomkostninger efter prisloftsbekendtgørelsen i alt</t>
  </si>
  <si>
    <t>Registrering af regnvandsbassiner</t>
  </si>
  <si>
    <t>Fane 9: Korrektioner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</si>
</sst>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6" t="s">
        <v>249</v>
      </c>
      <c r="E8" s="106"/>
      <c r="F8" s="106"/>
      <c r="G8" s="10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5" t="s">
        <v>5</v>
      </c>
      <c r="E11" s="105"/>
      <c r="F11" s="105"/>
      <c r="G11" s="105"/>
      <c r="H11" s="5"/>
      <c r="I11" s="1"/>
    </row>
    <row r="12" spans="1:9" x14ac:dyDescent="0.25">
      <c r="A12" s="1"/>
      <c r="B12" s="1"/>
      <c r="C12" s="1"/>
      <c r="D12" s="1"/>
      <c r="E12" s="1"/>
      <c r="F12" s="1"/>
      <c r="G12" s="1"/>
      <c r="H12" s="5"/>
      <c r="I12" s="1"/>
    </row>
    <row r="13" spans="1:9" x14ac:dyDescent="0.25">
      <c r="A13" s="1"/>
      <c r="B13" s="1"/>
      <c r="C13" s="6" t="s">
        <v>6</v>
      </c>
      <c r="D13" s="107" t="s">
        <v>196</v>
      </c>
      <c r="E13" s="108"/>
      <c r="F13" s="108"/>
      <c r="G13" s="109"/>
      <c r="H13" s="5"/>
      <c r="I13" s="1"/>
    </row>
    <row r="14" spans="1:9" x14ac:dyDescent="0.25">
      <c r="A14" s="1"/>
      <c r="B14" s="1"/>
      <c r="C14" s="6" t="s">
        <v>16</v>
      </c>
      <c r="D14" s="98" t="s">
        <v>197</v>
      </c>
      <c r="E14" s="99"/>
      <c r="F14" s="99"/>
      <c r="G14" s="100"/>
      <c r="H14" s="5"/>
      <c r="I14" s="1"/>
    </row>
    <row r="15" spans="1:9" x14ac:dyDescent="0.25">
      <c r="A15" s="1"/>
      <c r="B15" s="1"/>
      <c r="C15" s="6" t="s">
        <v>31</v>
      </c>
      <c r="D15" s="98" t="s">
        <v>259</v>
      </c>
      <c r="E15" s="99"/>
      <c r="F15" s="99"/>
      <c r="G15" s="100"/>
      <c r="H15" s="5"/>
      <c r="I15" s="1"/>
    </row>
    <row r="16" spans="1:9" x14ac:dyDescent="0.25">
      <c r="A16" s="1"/>
      <c r="B16" s="1"/>
      <c r="C16" s="6" t="s">
        <v>32</v>
      </c>
      <c r="D16" s="98" t="s">
        <v>260</v>
      </c>
      <c r="E16" s="99"/>
      <c r="F16" s="99"/>
      <c r="G16" s="100"/>
      <c r="H16" s="5"/>
      <c r="I16" s="1"/>
    </row>
    <row r="17" spans="1:9" x14ac:dyDescent="0.25">
      <c r="A17" s="1"/>
      <c r="B17" s="1"/>
      <c r="C17" s="6" t="s">
        <v>101</v>
      </c>
      <c r="D17" s="98" t="s">
        <v>198</v>
      </c>
      <c r="E17" s="99"/>
      <c r="F17" s="99"/>
      <c r="G17" s="100"/>
      <c r="H17" s="5"/>
      <c r="I17" s="1"/>
    </row>
    <row r="18" spans="1:9" x14ac:dyDescent="0.25">
      <c r="A18" s="1"/>
      <c r="B18" s="1"/>
      <c r="C18" s="6" t="s">
        <v>88</v>
      </c>
      <c r="D18" s="95" t="s">
        <v>79</v>
      </c>
      <c r="E18" s="96"/>
      <c r="F18" s="96"/>
      <c r="G18" s="97"/>
      <c r="H18" s="5"/>
      <c r="I18" s="1"/>
    </row>
    <row r="19" spans="1:9" x14ac:dyDescent="0.25">
      <c r="A19" s="1"/>
      <c r="B19" s="1"/>
      <c r="C19" s="6" t="s">
        <v>89</v>
      </c>
      <c r="D19" s="95" t="s">
        <v>80</v>
      </c>
      <c r="E19" s="96"/>
      <c r="F19" s="96"/>
      <c r="G19" s="97"/>
      <c r="H19" s="5"/>
      <c r="I19" s="1"/>
    </row>
    <row r="20" spans="1:9" x14ac:dyDescent="0.25">
      <c r="A20" s="1"/>
      <c r="B20" s="1"/>
      <c r="C20" s="6" t="s">
        <v>7</v>
      </c>
      <c r="D20" s="95" t="s">
        <v>10</v>
      </c>
      <c r="E20" s="96"/>
      <c r="F20" s="96"/>
      <c r="G20" s="97"/>
      <c r="H20" s="5"/>
      <c r="I20" s="1"/>
    </row>
    <row r="21" spans="1:9" x14ac:dyDescent="0.25">
      <c r="A21" s="1"/>
      <c r="B21" s="1"/>
      <c r="C21" s="6" t="s">
        <v>90</v>
      </c>
      <c r="D21" s="102" t="s">
        <v>12</v>
      </c>
      <c r="E21" s="103"/>
      <c r="F21" s="103"/>
      <c r="G21" s="104"/>
      <c r="H21" s="5"/>
      <c r="I21" s="1"/>
    </row>
    <row r="22" spans="1:9" x14ac:dyDescent="0.25">
      <c r="A22" s="1"/>
      <c r="B22" s="1"/>
      <c r="C22" s="6" t="s">
        <v>71</v>
      </c>
      <c r="D22" s="89" t="s">
        <v>199</v>
      </c>
      <c r="E22" s="90"/>
      <c r="F22" s="90"/>
      <c r="G22" s="91"/>
      <c r="H22" s="5"/>
      <c r="I22" s="1"/>
    </row>
    <row r="23" spans="1:9" x14ac:dyDescent="0.25">
      <c r="A23" s="1"/>
      <c r="B23" s="1"/>
      <c r="C23" s="6" t="s">
        <v>8</v>
      </c>
      <c r="D23" s="89" t="s">
        <v>181</v>
      </c>
      <c r="E23" s="90"/>
      <c r="F23" s="90"/>
      <c r="G23" s="91"/>
      <c r="H23" s="5"/>
      <c r="I23" s="1"/>
    </row>
    <row r="24" spans="1:9" x14ac:dyDescent="0.25">
      <c r="A24" s="1"/>
      <c r="B24" s="1"/>
      <c r="C24" s="6" t="s">
        <v>9</v>
      </c>
      <c r="D24" s="89" t="s">
        <v>200</v>
      </c>
      <c r="E24" s="90"/>
      <c r="F24" s="90"/>
      <c r="G24" s="91"/>
      <c r="H24" s="5"/>
      <c r="I24" s="1"/>
    </row>
    <row r="25" spans="1:9" x14ac:dyDescent="0.25">
      <c r="A25" s="1"/>
      <c r="B25" s="1"/>
      <c r="C25" s="6" t="s">
        <v>166</v>
      </c>
      <c r="D25" s="89" t="s">
        <v>160</v>
      </c>
      <c r="E25" s="90"/>
      <c r="F25" s="90"/>
      <c r="G25" s="91"/>
      <c r="H25" s="1"/>
      <c r="I25" s="1"/>
    </row>
    <row r="26" spans="1:9" x14ac:dyDescent="0.25">
      <c r="A26" s="1"/>
      <c r="B26" s="1"/>
      <c r="C26" s="6" t="s">
        <v>167</v>
      </c>
      <c r="D26" s="89" t="s">
        <v>72</v>
      </c>
      <c r="E26" s="90"/>
      <c r="F26" s="90"/>
      <c r="G26" s="91"/>
      <c r="H26" s="1"/>
      <c r="I26" s="1"/>
    </row>
    <row r="27" spans="1:9" x14ac:dyDescent="0.25">
      <c r="A27" s="1"/>
      <c r="B27" s="1"/>
      <c r="C27" s="6" t="s">
        <v>168</v>
      </c>
      <c r="D27" s="89" t="s">
        <v>73</v>
      </c>
      <c r="E27" s="90"/>
      <c r="F27" s="90"/>
      <c r="G27" s="91"/>
      <c r="H27" s="1"/>
      <c r="I27" s="1"/>
    </row>
    <row r="28" spans="1:9" x14ac:dyDescent="0.25">
      <c r="A28" s="1"/>
      <c r="B28" s="1"/>
      <c r="C28" s="6" t="s">
        <v>15</v>
      </c>
      <c r="D28" s="89" t="s">
        <v>74</v>
      </c>
      <c r="E28" s="90"/>
      <c r="F28" s="90"/>
      <c r="G28" s="91"/>
      <c r="H28" s="1"/>
      <c r="I28" s="1"/>
    </row>
    <row r="29" spans="1:9" x14ac:dyDescent="0.25">
      <c r="A29" s="1"/>
      <c r="B29" s="1"/>
      <c r="C29" s="6" t="s">
        <v>34</v>
      </c>
      <c r="D29" s="89" t="s">
        <v>114</v>
      </c>
      <c r="E29" s="90"/>
      <c r="F29" s="90"/>
      <c r="G29" s="91"/>
      <c r="H29" s="1"/>
      <c r="I29" s="1"/>
    </row>
    <row r="30" spans="1:9" x14ac:dyDescent="0.25">
      <c r="A30" s="1"/>
      <c r="B30" s="1"/>
      <c r="C30" s="6" t="s">
        <v>35</v>
      </c>
      <c r="D30" s="89" t="s">
        <v>33</v>
      </c>
      <c r="E30" s="90"/>
      <c r="F30" s="90"/>
      <c r="G30" s="91"/>
      <c r="H30" s="1"/>
      <c r="I30" s="1"/>
    </row>
    <row r="31" spans="1:9" x14ac:dyDescent="0.25">
      <c r="A31" s="1"/>
      <c r="B31" s="1"/>
      <c r="C31" s="6" t="s">
        <v>169</v>
      </c>
      <c r="D31" s="92" t="s">
        <v>87</v>
      </c>
      <c r="E31" s="93"/>
      <c r="F31" s="93"/>
      <c r="G31" s="9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tpbTSAs5Mmn7ZyILGd8b0JvrI7/xl2mfB6d8dX3lpKdKaGAk4MDFlGU3GPNHL0w6Hlcrhhpmv4fuZPs3x48LRQ==" saltValue="MWuRDP9qRyd214sjmHN/6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4" t="s">
        <v>223</v>
      </c>
      <c r="C8" s="115"/>
      <c r="D8" s="116"/>
      <c r="E8" s="1"/>
      <c r="F8" s="1"/>
    </row>
    <row r="9" spans="1:6" ht="15" customHeight="1" x14ac:dyDescent="0.25">
      <c r="A9" s="1"/>
      <c r="B9" s="27" t="s">
        <v>29</v>
      </c>
      <c r="C9" s="50" t="s">
        <v>224</v>
      </c>
      <c r="D9" s="11"/>
      <c r="E9" s="1"/>
      <c r="F9" s="1"/>
    </row>
    <row r="10" spans="1:6" ht="15" customHeight="1" x14ac:dyDescent="0.25">
      <c r="A10" s="1"/>
      <c r="B10" s="81" t="s">
        <v>269</v>
      </c>
      <c r="C10" s="9">
        <v>2228726</v>
      </c>
      <c r="D10" s="14" t="s">
        <v>3</v>
      </c>
      <c r="E10" s="1"/>
      <c r="F10" s="1"/>
    </row>
    <row r="11" spans="1:6" ht="15" customHeight="1" x14ac:dyDescent="0.25">
      <c r="A11" s="1"/>
      <c r="B11" s="81" t="s">
        <v>270</v>
      </c>
      <c r="C11" s="9">
        <v>109020</v>
      </c>
      <c r="D11" s="14" t="s">
        <v>3</v>
      </c>
      <c r="E11" s="1"/>
      <c r="F11" s="1"/>
    </row>
    <row r="12" spans="1:6" ht="26.25" x14ac:dyDescent="0.25">
      <c r="A12" s="1"/>
      <c r="B12" s="29" t="s">
        <v>271</v>
      </c>
      <c r="C12" s="9">
        <v>221642.88</v>
      </c>
      <c r="D12" s="14" t="s">
        <v>3</v>
      </c>
      <c r="E12" s="1"/>
      <c r="F12" s="1"/>
    </row>
    <row r="13" spans="1:6" x14ac:dyDescent="0.25">
      <c r="A13" s="1"/>
      <c r="B13" s="81" t="s">
        <v>272</v>
      </c>
      <c r="C13" s="9">
        <v>326270.75</v>
      </c>
      <c r="D13" s="14" t="s">
        <v>3</v>
      </c>
      <c r="E13" s="1"/>
      <c r="F13" s="1"/>
    </row>
    <row r="14" spans="1:6" x14ac:dyDescent="0.25">
      <c r="A14" s="1"/>
      <c r="B14" s="81" t="s">
        <v>273</v>
      </c>
      <c r="C14" s="9">
        <v>245532.64</v>
      </c>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225</v>
      </c>
      <c r="C20" s="12">
        <f>SUM(C10:C19)</f>
        <v>3131192.27</v>
      </c>
      <c r="D20" s="13" t="s">
        <v>3</v>
      </c>
      <c r="E20" s="1"/>
      <c r="F20" s="1"/>
    </row>
    <row r="21" spans="1:6" x14ac:dyDescent="0.25">
      <c r="A21" s="1"/>
      <c r="B21" s="33" t="s">
        <v>226</v>
      </c>
      <c r="C21" s="12">
        <f>C20*(1+'Fane 15. Nøgletal'!C16)^2</f>
        <v>3657635.3679336128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4" t="s">
        <v>99</v>
      </c>
      <c r="C24" s="115"/>
      <c r="D24" s="116"/>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258</v>
      </c>
      <c r="C28" s="9">
        <v>0</v>
      </c>
      <c r="D28" s="38" t="s">
        <v>3</v>
      </c>
      <c r="E28" s="1"/>
      <c r="F28" s="1"/>
    </row>
    <row r="29" spans="1:6" x14ac:dyDescent="0.25">
      <c r="A29" s="1"/>
      <c r="B29" s="114"/>
      <c r="C29" s="115"/>
      <c r="D29" s="116"/>
      <c r="E29" s="1"/>
      <c r="F29" s="1"/>
    </row>
    <row r="30" spans="1:6" x14ac:dyDescent="0.25">
      <c r="A30" s="1"/>
      <c r="B30" s="1"/>
      <c r="C30" s="1"/>
      <c r="D30" s="1"/>
      <c r="E30" s="1"/>
      <c r="F30" s="1"/>
    </row>
    <row r="31" spans="1:6" x14ac:dyDescent="0.25">
      <c r="A31" s="1"/>
      <c r="B31" s="1"/>
      <c r="C31" s="1"/>
      <c r="D31" s="1"/>
      <c r="E31" s="1"/>
      <c r="F31" s="1"/>
    </row>
    <row r="32" spans="1:6" x14ac:dyDescent="0.25">
      <c r="A32" s="1"/>
      <c r="B32" s="114" t="s">
        <v>81</v>
      </c>
      <c r="C32" s="115"/>
      <c r="D32" s="116"/>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258</v>
      </c>
      <c r="C36" s="9">
        <v>0</v>
      </c>
      <c r="D36" s="38" t="s">
        <v>3</v>
      </c>
      <c r="E36" s="1"/>
      <c r="F36" s="1"/>
    </row>
    <row r="37" spans="1:6" x14ac:dyDescent="0.25">
      <c r="A37" s="1"/>
      <c r="B37" s="114"/>
      <c r="C37" s="115"/>
      <c r="D37" s="116"/>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QiWHY/KyzP3jxyRrgTUm21eoH9xzPC+29gnzHpt3ySOJMAKOnYnd8gOexSySI4ZwcA9XXGIucdLw0/JHxztcVA==" saltValue="Si0ubvR6wtjz5hp9PFylR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7F999-7720-4B16-8B91-D2C708C0084D}">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4" t="s">
        <v>137</v>
      </c>
      <c r="C8" s="115"/>
      <c r="D8" s="115"/>
      <c r="E8" s="115"/>
      <c r="F8" s="116"/>
      <c r="G8" s="1"/>
    </row>
    <row r="9" spans="1:7" ht="15" customHeight="1" x14ac:dyDescent="0.25">
      <c r="A9" s="1"/>
      <c r="B9" s="117" t="s">
        <v>274</v>
      </c>
      <c r="C9" s="118"/>
      <c r="D9" s="119"/>
      <c r="E9" s="9">
        <v>710172</v>
      </c>
      <c r="F9" s="14" t="s">
        <v>3</v>
      </c>
      <c r="G9" s="1"/>
    </row>
    <row r="10" spans="1:7" ht="15" customHeight="1" x14ac:dyDescent="0.25">
      <c r="A10" s="1"/>
      <c r="B10" s="117" t="s">
        <v>143</v>
      </c>
      <c r="C10" s="118"/>
      <c r="D10" s="119"/>
      <c r="E10" s="9">
        <v>556790</v>
      </c>
      <c r="F10" s="14" t="s">
        <v>3</v>
      </c>
      <c r="G10" s="1"/>
    </row>
    <row r="11" spans="1:7" ht="15" customHeight="1" x14ac:dyDescent="0.25">
      <c r="A11" s="1"/>
      <c r="B11" s="117" t="s">
        <v>275</v>
      </c>
      <c r="C11" s="118"/>
      <c r="D11" s="119"/>
      <c r="E11" s="9">
        <v>4978858</v>
      </c>
      <c r="F11" s="14" t="s">
        <v>3</v>
      </c>
      <c r="G11" s="1"/>
    </row>
    <row r="12" spans="1:7" x14ac:dyDescent="0.25">
      <c r="A12" s="1"/>
      <c r="B12" s="33"/>
      <c r="C12" s="28"/>
      <c r="D12" s="28"/>
      <c r="E12" s="28"/>
      <c r="F12" s="19"/>
      <c r="G12" s="1"/>
    </row>
    <row r="13" spans="1:7" ht="42" customHeight="1" x14ac:dyDescent="0.25">
      <c r="A13" s="1"/>
      <c r="B13" s="126" t="s">
        <v>276</v>
      </c>
      <c r="C13" s="127"/>
      <c r="D13" s="127"/>
      <c r="E13" s="127"/>
      <c r="F13" s="128"/>
      <c r="G13" s="1"/>
    </row>
    <row r="14" spans="1:7" ht="15" customHeight="1" x14ac:dyDescent="0.25">
      <c r="A14" s="1"/>
      <c r="B14" s="1"/>
      <c r="C14" s="1"/>
      <c r="D14" s="1"/>
      <c r="E14" s="1"/>
      <c r="F14" s="1"/>
      <c r="G14" s="1"/>
    </row>
    <row r="15" spans="1:7" x14ac:dyDescent="0.25">
      <c r="A15" s="1"/>
      <c r="B15" s="75" t="s">
        <v>277</v>
      </c>
      <c r="C15" s="76"/>
      <c r="D15" s="76"/>
      <c r="E15" s="76"/>
      <c r="F15" s="77"/>
      <c r="G15" s="1"/>
    </row>
    <row r="16" spans="1:7" x14ac:dyDescent="0.25">
      <c r="A16" s="1"/>
      <c r="B16" s="78" t="s">
        <v>278</v>
      </c>
      <c r="C16" s="79"/>
      <c r="D16" s="80"/>
      <c r="E16" s="9">
        <f>IF(E11&lt;0,E11,0)</f>
        <v>0</v>
      </c>
      <c r="F16" s="14" t="s">
        <v>3</v>
      </c>
      <c r="G16" s="1"/>
    </row>
    <row r="17" spans="1:7" x14ac:dyDescent="0.25">
      <c r="A17" s="1"/>
      <c r="B17" s="78" t="s">
        <v>279</v>
      </c>
      <c r="C17" s="79"/>
      <c r="D17" s="80"/>
      <c r="E17" s="9">
        <f>IF(SUM(E10)&gt;0,SUM(E10),0)</f>
        <v>556790</v>
      </c>
      <c r="F17" s="14" t="s">
        <v>3</v>
      </c>
      <c r="G17" s="1"/>
    </row>
    <row r="18" spans="1:7" x14ac:dyDescent="0.25">
      <c r="A18" s="1"/>
      <c r="B18" s="82" t="s">
        <v>280</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281</v>
      </c>
      <c r="C21" s="76"/>
      <c r="D21" s="76"/>
      <c r="E21" s="76"/>
      <c r="F21" s="77"/>
      <c r="G21" s="1"/>
    </row>
    <row r="22" spans="1:7" x14ac:dyDescent="0.25">
      <c r="A22" s="1"/>
      <c r="B22" s="78" t="s">
        <v>282</v>
      </c>
      <c r="C22" s="79"/>
      <c r="D22" s="80"/>
      <c r="E22" s="9">
        <v>105702427</v>
      </c>
      <c r="F22" s="14" t="s">
        <v>3</v>
      </c>
      <c r="G22" s="1"/>
    </row>
    <row r="23" spans="1:7" x14ac:dyDescent="0.25">
      <c r="A23" s="1"/>
      <c r="B23" s="78" t="s">
        <v>283</v>
      </c>
      <c r="C23" s="79"/>
      <c r="D23" s="80"/>
      <c r="E23" s="9">
        <v>110766097</v>
      </c>
      <c r="F23" s="14" t="s">
        <v>3</v>
      </c>
      <c r="G23" s="1"/>
    </row>
    <row r="24" spans="1:7" x14ac:dyDescent="0.25">
      <c r="A24" s="1"/>
      <c r="B24" s="78" t="s">
        <v>30</v>
      </c>
      <c r="C24" s="79"/>
      <c r="D24" s="80"/>
      <c r="E24" s="9">
        <v>0</v>
      </c>
      <c r="F24" s="14" t="s">
        <v>3</v>
      </c>
      <c r="G24" s="1"/>
    </row>
    <row r="25" spans="1:7" x14ac:dyDescent="0.25">
      <c r="A25" s="1"/>
      <c r="B25" s="82" t="s">
        <v>284</v>
      </c>
      <c r="C25" s="83"/>
      <c r="D25" s="84"/>
      <c r="E25" s="62">
        <f>E22-E23-E24</f>
        <v>-5063670</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4" t="s">
        <v>285</v>
      </c>
      <c r="C28" s="115"/>
      <c r="D28" s="115"/>
      <c r="E28" s="115"/>
      <c r="F28" s="116"/>
      <c r="G28" s="1"/>
    </row>
    <row r="29" spans="1:7" x14ac:dyDescent="0.25">
      <c r="A29" s="1"/>
      <c r="B29" s="132" t="s">
        <v>116</v>
      </c>
      <c r="C29" s="133"/>
      <c r="D29" s="134"/>
      <c r="E29" s="9">
        <f>IF(E18&lt;0,IF(E25&lt;0,SUM(E18,E25),IF(E10&gt;0,SUM(E10:E11),E18)),IF(AND(E25&lt;0,SUM(E25,E11)&lt;0),IF(E11&lt;0,E25,IF(SUM(E10:E11)&gt;0,SUM(E25,E11),IF(AND(E25&lt;0,E18=0,E11&gt;0),IF(SUM(E9:E11)&gt;0,E25+E11,E25)))),0))</f>
        <v>-84812</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-42406</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dpo6IAssxzpRS51vvKtL7HcupAIdaC4aw6G6DOYe++XecBi69DKd+mASIcnii8dVs8ME/Lottv0nItwXQj98YA==" saltValue="d6FJ+J7bXnCMe5DFpdkNF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4" t="s">
        <v>189</v>
      </c>
      <c r="C8" s="115"/>
      <c r="D8" s="115"/>
      <c r="E8" s="115"/>
      <c r="F8" s="115"/>
      <c r="G8" s="115"/>
      <c r="H8" s="116"/>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4" t="s">
        <v>180</v>
      </c>
      <c r="C18" s="115"/>
      <c r="D18" s="115"/>
      <c r="E18" s="115"/>
      <c r="F18" s="11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R1R/IOjE2p96IUdP+t9DzmGsze/0gXLCGjWAlL7FhR8rgprznmbxDoVzBHjILv25I6zB5MVLTFyf26B/nzoQHQ==" saltValue="uyj4vcIBNU02XuKPrqAfKg=="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306</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302</v>
      </c>
      <c r="C9" s="115"/>
      <c r="D9" s="115"/>
      <c r="E9" s="115"/>
      <c r="F9" s="116"/>
      <c r="G9" s="1"/>
    </row>
    <row r="10" spans="1:7" x14ac:dyDescent="0.25">
      <c r="A10" s="1"/>
      <c r="B10" s="126" t="s">
        <v>82</v>
      </c>
      <c r="C10" s="127"/>
      <c r="D10" s="128"/>
      <c r="E10" s="7">
        <v>5810080.2968752766</v>
      </c>
      <c r="F10" s="8" t="s">
        <v>3</v>
      </c>
      <c r="G10" s="1"/>
    </row>
    <row r="11" spans="1:7" x14ac:dyDescent="0.25">
      <c r="A11" s="1"/>
      <c r="B11" s="117" t="s">
        <v>227</v>
      </c>
      <c r="C11" s="118"/>
      <c r="D11" s="119"/>
      <c r="E11" s="7">
        <v>0</v>
      </c>
      <c r="F11" s="8" t="s">
        <v>3</v>
      </c>
      <c r="G11" s="1"/>
    </row>
    <row r="12" spans="1:7" x14ac:dyDescent="0.25">
      <c r="A12" s="1"/>
      <c r="B12" s="135" t="s">
        <v>83</v>
      </c>
      <c r="C12" s="136"/>
      <c r="D12" s="137"/>
      <c r="E12" s="10">
        <f>E11-E10</f>
        <v>-5810080.2968752766</v>
      </c>
      <c r="F12" s="11" t="s">
        <v>3</v>
      </c>
      <c r="G12" s="1"/>
    </row>
    <row r="13" spans="1:7" x14ac:dyDescent="0.25">
      <c r="A13" s="1"/>
      <c r="B13" s="114" t="s">
        <v>78</v>
      </c>
      <c r="C13" s="115"/>
      <c r="D13" s="115"/>
      <c r="E13" s="115"/>
      <c r="F13" s="116"/>
      <c r="G13" s="1"/>
    </row>
    <row r="14" spans="1:7" x14ac:dyDescent="0.25">
      <c r="A14" s="1"/>
      <c r="B14" s="117" t="s">
        <v>228</v>
      </c>
      <c r="C14" s="118"/>
      <c r="D14" s="119"/>
      <c r="E14" s="7">
        <v>0</v>
      </c>
      <c r="F14" s="8" t="s">
        <v>3</v>
      </c>
      <c r="G14" s="1"/>
    </row>
    <row r="15" spans="1:7" x14ac:dyDescent="0.25">
      <c r="A15" s="1"/>
      <c r="B15" s="126" t="s">
        <v>229</v>
      </c>
      <c r="C15" s="127"/>
      <c r="D15" s="128"/>
      <c r="E15" s="7">
        <v>0</v>
      </c>
      <c r="F15" s="8" t="s">
        <v>3</v>
      </c>
      <c r="G15" s="1"/>
    </row>
    <row r="16" spans="1:7" x14ac:dyDescent="0.25">
      <c r="A16" s="1"/>
      <c r="B16" s="135" t="s">
        <v>83</v>
      </c>
      <c r="C16" s="136"/>
      <c r="D16" s="137"/>
      <c r="E16" s="10">
        <f>E15-E14</f>
        <v>0</v>
      </c>
      <c r="F16" s="11" t="s">
        <v>3</v>
      </c>
      <c r="G16" s="1"/>
    </row>
    <row r="17" spans="1:7" x14ac:dyDescent="0.25">
      <c r="A17" s="1"/>
      <c r="B17" s="33" t="s">
        <v>304</v>
      </c>
      <c r="C17" s="28"/>
      <c r="D17" s="28"/>
      <c r="E17" s="12">
        <f>E12+E16</f>
        <v>-5810080.2968752766</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PsQkKAIfFrWXhTOgBwiq/2f6C+dFRM7lOgkvzCeaEe/ZsuCDu9oOSQbGVAWcG91EkyREIxRWRI/Ar6y6bkheA==" saltValue="KyOWJ8EsL46/8bKGYYdjS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4" t="s">
        <v>149</v>
      </c>
      <c r="C8" s="115"/>
      <c r="D8" s="115"/>
      <c r="E8" s="115"/>
      <c r="F8" s="115"/>
      <c r="G8" s="115"/>
      <c r="H8" s="115"/>
      <c r="I8" s="115"/>
      <c r="J8" s="115"/>
      <c r="K8" s="116"/>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262</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Pb6SbzDxtrrIe/J1SZ2ECXUvekBjpQq8IXWBxrMhJ6LJrAbO/B8B6QyxrOWb7BWcS/SikXvzMgBfgPe+xp4Zbw==" saltValue="taRAfYhP6HX/6sPNJgObV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286</v>
      </c>
      <c r="C11" s="21">
        <v>0</v>
      </c>
      <c r="D11" s="14" t="s">
        <v>3</v>
      </c>
      <c r="E11" s="9">
        <v>89138</v>
      </c>
      <c r="F11" s="14" t="s">
        <v>3</v>
      </c>
      <c r="G11" s="1"/>
    </row>
    <row r="12" spans="1:7" ht="26.25" x14ac:dyDescent="0.25">
      <c r="A12" s="1"/>
      <c r="B12" s="71" t="s">
        <v>287</v>
      </c>
      <c r="C12" s="21">
        <v>39921</v>
      </c>
      <c r="D12" s="14" t="s">
        <v>3</v>
      </c>
      <c r="E12" s="9">
        <v>0</v>
      </c>
      <c r="F12" s="14" t="s">
        <v>3</v>
      </c>
      <c r="G12" s="1"/>
    </row>
    <row r="13" spans="1:7" x14ac:dyDescent="0.25">
      <c r="A13" s="1"/>
      <c r="B13" s="24" t="s">
        <v>288</v>
      </c>
      <c r="C13" s="21">
        <v>1207999</v>
      </c>
      <c r="D13" s="14" t="s">
        <v>3</v>
      </c>
      <c r="E13" s="9">
        <v>0</v>
      </c>
      <c r="F13" s="14" t="s">
        <v>3</v>
      </c>
      <c r="G13" s="1"/>
    </row>
    <row r="14" spans="1:7" x14ac:dyDescent="0.25">
      <c r="A14" s="1"/>
      <c r="B14" s="24" t="s">
        <v>289</v>
      </c>
      <c r="C14" s="21">
        <v>517362</v>
      </c>
      <c r="D14" s="14" t="s">
        <v>3</v>
      </c>
      <c r="E14" s="9">
        <v>784808</v>
      </c>
      <c r="F14" s="14" t="s">
        <v>3</v>
      </c>
      <c r="G14" s="1"/>
    </row>
    <row r="15" spans="1:7" ht="26.25" x14ac:dyDescent="0.25">
      <c r="A15" s="1"/>
      <c r="B15" s="71" t="s">
        <v>290</v>
      </c>
      <c r="C15" s="21">
        <v>411</v>
      </c>
      <c r="D15" s="14" t="s">
        <v>3</v>
      </c>
      <c r="E15" s="9">
        <v>1211</v>
      </c>
      <c r="F15" s="14" t="s">
        <v>3</v>
      </c>
      <c r="G15" s="1"/>
    </row>
    <row r="16" spans="1:7" ht="26.25" x14ac:dyDescent="0.25">
      <c r="A16" s="1"/>
      <c r="B16" s="71" t="s">
        <v>291</v>
      </c>
      <c r="C16" s="21">
        <v>0</v>
      </c>
      <c r="D16" s="14" t="s">
        <v>3</v>
      </c>
      <c r="E16" s="9">
        <v>10659</v>
      </c>
      <c r="F16" s="14" t="s">
        <v>3</v>
      </c>
      <c r="G16" s="1"/>
    </row>
    <row r="17" spans="1:7" x14ac:dyDescent="0.25">
      <c r="A17" s="1"/>
      <c r="B17" s="24" t="s">
        <v>292</v>
      </c>
      <c r="C17" s="21">
        <v>628347</v>
      </c>
      <c r="D17" s="14" t="s">
        <v>3</v>
      </c>
      <c r="E17" s="9">
        <v>15613</v>
      </c>
      <c r="F17" s="14" t="s">
        <v>3</v>
      </c>
      <c r="G17" s="1"/>
    </row>
    <row r="18" spans="1:7" x14ac:dyDescent="0.25">
      <c r="A18" s="1"/>
      <c r="B18" s="24" t="s">
        <v>293</v>
      </c>
      <c r="C18" s="21">
        <v>0</v>
      </c>
      <c r="D18" s="14" t="s">
        <v>3</v>
      </c>
      <c r="E18" s="9">
        <v>168543</v>
      </c>
      <c r="F18" s="14" t="s">
        <v>3</v>
      </c>
      <c r="G18" s="1"/>
    </row>
    <row r="19" spans="1:7" ht="26.25" x14ac:dyDescent="0.25">
      <c r="A19" s="1"/>
      <c r="B19" s="71" t="s">
        <v>294</v>
      </c>
      <c r="C19" s="21">
        <v>0</v>
      </c>
      <c r="D19" s="14" t="s">
        <v>3</v>
      </c>
      <c r="E19" s="9">
        <v>3899</v>
      </c>
      <c r="F19" s="14" t="s">
        <v>3</v>
      </c>
      <c r="G19" s="1"/>
    </row>
    <row r="20" spans="1:7" x14ac:dyDescent="0.25">
      <c r="A20" s="1"/>
      <c r="B20" s="24" t="s">
        <v>295</v>
      </c>
      <c r="C20" s="21">
        <v>0</v>
      </c>
      <c r="D20" s="14" t="s">
        <v>3</v>
      </c>
      <c r="E20" s="9">
        <v>13818</v>
      </c>
      <c r="F20" s="14" t="s">
        <v>3</v>
      </c>
      <c r="G20" s="1"/>
    </row>
    <row r="21" spans="1:7" x14ac:dyDescent="0.25">
      <c r="A21" s="1"/>
      <c r="B21" s="24" t="s">
        <v>296</v>
      </c>
      <c r="C21" s="21">
        <v>28476</v>
      </c>
      <c r="D21" s="14" t="s">
        <v>3</v>
      </c>
      <c r="E21" s="9">
        <v>23912</v>
      </c>
      <c r="F21" s="14" t="s">
        <v>3</v>
      </c>
      <c r="G21" s="1"/>
    </row>
    <row r="22" spans="1:7" x14ac:dyDescent="0.25">
      <c r="A22" s="1"/>
      <c r="B22" s="24" t="s">
        <v>297</v>
      </c>
      <c r="C22" s="21">
        <v>0</v>
      </c>
      <c r="D22" s="14" t="s">
        <v>3</v>
      </c>
      <c r="E22" s="9">
        <v>10403</v>
      </c>
      <c r="F22" s="14" t="s">
        <v>3</v>
      </c>
      <c r="G22" s="1"/>
    </row>
    <row r="23" spans="1:7" x14ac:dyDescent="0.25">
      <c r="A23" s="1"/>
      <c r="B23" s="24" t="s">
        <v>298</v>
      </c>
      <c r="C23" s="21">
        <v>116096</v>
      </c>
      <c r="D23" s="14" t="s">
        <v>3</v>
      </c>
      <c r="E23" s="9">
        <v>0</v>
      </c>
      <c r="F23" s="14" t="s">
        <v>3</v>
      </c>
      <c r="G23" s="1"/>
    </row>
    <row r="24" spans="1:7" x14ac:dyDescent="0.25">
      <c r="A24" s="1"/>
      <c r="B24" s="24" t="s">
        <v>299</v>
      </c>
      <c r="C24" s="21">
        <v>10952</v>
      </c>
      <c r="D24" s="14" t="s">
        <v>3</v>
      </c>
      <c r="E24" s="9">
        <v>54931</v>
      </c>
      <c r="F24" s="14" t="s">
        <v>3</v>
      </c>
      <c r="G24" s="1"/>
    </row>
    <row r="25" spans="1:7" x14ac:dyDescent="0.25">
      <c r="A25" s="1"/>
      <c r="B25" s="24" t="s">
        <v>300</v>
      </c>
      <c r="C25" s="21">
        <v>856480</v>
      </c>
      <c r="D25" s="14" t="s">
        <v>3</v>
      </c>
      <c r="E25" s="9">
        <v>605297</v>
      </c>
      <c r="F25" s="14" t="s">
        <v>3</v>
      </c>
      <c r="G25" s="1"/>
    </row>
    <row r="26" spans="1:7" x14ac:dyDescent="0.25">
      <c r="A26" s="1"/>
      <c r="B26" s="24" t="s">
        <v>305</v>
      </c>
      <c r="C26" s="21">
        <v>7188</v>
      </c>
      <c r="D26" s="14" t="s">
        <v>3</v>
      </c>
      <c r="E26" s="9">
        <v>0</v>
      </c>
      <c r="F26" s="14" t="s">
        <v>3</v>
      </c>
      <c r="G26" s="1"/>
    </row>
    <row r="27" spans="1:7" x14ac:dyDescent="0.25">
      <c r="A27" s="1"/>
      <c r="B27" s="24"/>
      <c r="C27" s="21"/>
      <c r="D27" s="14" t="s">
        <v>3</v>
      </c>
      <c r="E27" s="9"/>
      <c r="F27" s="14" t="s">
        <v>3</v>
      </c>
      <c r="G27" s="1"/>
    </row>
    <row r="28" spans="1:7" x14ac:dyDescent="0.25">
      <c r="A28" s="1"/>
      <c r="B28" s="33" t="s">
        <v>144</v>
      </c>
      <c r="C28" s="12">
        <f>SUM(C10:C27)</f>
        <v>3413232</v>
      </c>
      <c r="D28" s="13" t="s">
        <v>3</v>
      </c>
      <c r="E28" s="12">
        <f>SUM(E10:E27)</f>
        <v>1782232</v>
      </c>
      <c r="F28" s="13" t="s">
        <v>3</v>
      </c>
      <c r="G28" s="1"/>
    </row>
    <row r="29" spans="1:7" x14ac:dyDescent="0.25">
      <c r="A29" s="1"/>
      <c r="B29" s="33" t="s">
        <v>230</v>
      </c>
      <c r="C29" s="12">
        <f>C28*(1+'Fane 15. Nøgletal'!C16)</f>
        <v>3689021.1455999999</v>
      </c>
      <c r="D29" s="13" t="s">
        <v>3</v>
      </c>
      <c r="E29" s="12">
        <f>E28*(1+'Fane 15. Nøgletal'!C16)</f>
        <v>1926236.3455999999</v>
      </c>
      <c r="F29" s="13" t="s">
        <v>3</v>
      </c>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8CVhI5GP1sxbTtKKx/Gv6EJG4CvfeMFawmvZile5r2OzUzsqh6NT3ifE7cLr7FdJhheKmBjbHdJp6ylptrs0A==" saltValue="Pdt7KOhclkGBr3YNLCirr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257</v>
      </c>
      <c r="C8" s="115"/>
      <c r="D8" s="115"/>
      <c r="E8" s="115"/>
      <c r="F8" s="116"/>
      <c r="G8" s="1"/>
    </row>
    <row r="9" spans="1:7" x14ac:dyDescent="0.25">
      <c r="A9" s="1"/>
      <c r="B9" s="86" t="s">
        <v>17</v>
      </c>
      <c r="C9" s="86" t="s">
        <v>11</v>
      </c>
      <c r="D9" s="87"/>
      <c r="E9" s="86" t="s">
        <v>28</v>
      </c>
      <c r="F9" s="32"/>
      <c r="G9" s="1"/>
    </row>
    <row r="10" spans="1:7" x14ac:dyDescent="0.25">
      <c r="A10" s="1"/>
      <c r="B10" s="24" t="s">
        <v>301</v>
      </c>
      <c r="C10" s="21">
        <v>508307</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231</v>
      </c>
      <c r="C13" s="12">
        <f>SUM(C10:C12)</f>
        <v>508307</v>
      </c>
      <c r="D13" s="13" t="s">
        <v>3</v>
      </c>
      <c r="E13" s="12">
        <f>SUM(E10:E12)</f>
        <v>0</v>
      </c>
      <c r="F13" s="13" t="s">
        <v>3</v>
      </c>
      <c r="G13" s="1"/>
    </row>
    <row r="14" spans="1:7" x14ac:dyDescent="0.25">
      <c r="A14" s="1"/>
      <c r="B14" s="33" t="s">
        <v>232</v>
      </c>
      <c r="C14" s="12">
        <f>C13*(1+'Fane 15. Nøgletal'!C16)^2</f>
        <v>593767.96461248002</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Jx7mkxzgSf/AwRDjEyVb5yGhEAljdDXdUlT40M651yx8oHQi7HrTbCZ57h7og+v09dWhNtpXlN8TfqKsx0OTA==" saltValue="QHxEeCYIZiqgU84rkzpaW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4" t="s">
        <v>110</v>
      </c>
      <c r="C9" s="115"/>
      <c r="D9" s="115"/>
      <c r="E9" s="115"/>
      <c r="F9" s="116"/>
      <c r="G9" s="1"/>
    </row>
    <row r="10" spans="1:7" x14ac:dyDescent="0.25">
      <c r="A10" s="1"/>
      <c r="B10" s="141" t="s">
        <v>233</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4" t="s">
        <v>111</v>
      </c>
      <c r="C13" s="115"/>
      <c r="D13" s="116"/>
      <c r="E13" s="12">
        <f>SUM(E10:E12)*(1+'Fane 15. Nøgletal'!C16)^2</f>
        <v>0</v>
      </c>
      <c r="F13" s="13" t="s">
        <v>3</v>
      </c>
      <c r="G13" s="1"/>
    </row>
    <row r="14" spans="1:7" x14ac:dyDescent="0.25">
      <c r="A14" s="1"/>
      <c r="B14" s="1"/>
      <c r="C14" s="1"/>
      <c r="D14" s="1"/>
      <c r="E14" s="1"/>
      <c r="F14" s="1"/>
      <c r="G14" s="1"/>
    </row>
    <row r="15" spans="1:7" ht="15" customHeight="1" x14ac:dyDescent="0.25">
      <c r="A15" s="1"/>
      <c r="B15" s="114" t="s">
        <v>124</v>
      </c>
      <c r="C15" s="115"/>
      <c r="D15" s="115"/>
      <c r="E15" s="115"/>
      <c r="F15" s="116"/>
      <c r="G15" s="1"/>
    </row>
    <row r="16" spans="1:7" x14ac:dyDescent="0.25">
      <c r="A16" s="1"/>
      <c r="B16" s="141" t="s">
        <v>233</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4" t="s">
        <v>125</v>
      </c>
      <c r="C19" s="115"/>
      <c r="D19" s="116"/>
      <c r="E19" s="12">
        <f>SUM(E16:E18)*(1+'Fane 15. Nøgletal'!C16)^3</f>
        <v>0</v>
      </c>
      <c r="F19" s="13" t="s">
        <v>3</v>
      </c>
      <c r="G19" s="1"/>
    </row>
    <row r="20" spans="1:7" x14ac:dyDescent="0.25">
      <c r="A20" s="1"/>
      <c r="B20" s="1"/>
      <c r="C20" s="1"/>
      <c r="D20" s="1"/>
      <c r="E20" s="1"/>
      <c r="F20" s="1"/>
      <c r="G20" s="1"/>
    </row>
    <row r="21" spans="1:7" ht="15" customHeight="1" x14ac:dyDescent="0.25">
      <c r="A21" s="1"/>
      <c r="B21" s="114" t="s">
        <v>145</v>
      </c>
      <c r="C21" s="115"/>
      <c r="D21" s="115"/>
      <c r="E21" s="115"/>
      <c r="F21" s="116"/>
      <c r="G21" s="1"/>
    </row>
    <row r="22" spans="1:7" x14ac:dyDescent="0.25">
      <c r="A22" s="1"/>
      <c r="B22" s="141" t="s">
        <v>233</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4" t="s">
        <v>146</v>
      </c>
      <c r="C25" s="115"/>
      <c r="D25" s="116"/>
      <c r="E25" s="12">
        <f>SUM(E22:E24)*(1+'Fane 15. Nøgletal'!C16)^4</f>
        <v>0</v>
      </c>
      <c r="F25" s="13" t="s">
        <v>3</v>
      </c>
      <c r="G25" s="1"/>
    </row>
    <row r="26" spans="1:7" x14ac:dyDescent="0.25">
      <c r="A26" s="1"/>
      <c r="B26" s="1"/>
      <c r="C26" s="1"/>
      <c r="D26" s="1"/>
      <c r="E26" s="1"/>
      <c r="F26" s="1"/>
      <c r="G26" s="1"/>
    </row>
    <row r="27" spans="1:7" ht="15" customHeight="1" x14ac:dyDescent="0.25">
      <c r="A27" s="1"/>
      <c r="B27" s="114" t="s">
        <v>234</v>
      </c>
      <c r="C27" s="115"/>
      <c r="D27" s="115"/>
      <c r="E27" s="115"/>
      <c r="F27" s="116"/>
      <c r="G27" s="1"/>
    </row>
    <row r="28" spans="1:7" ht="14.25" customHeight="1" x14ac:dyDescent="0.25">
      <c r="A28" s="1"/>
      <c r="B28" s="141" t="s">
        <v>233</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4" t="s">
        <v>235</v>
      </c>
      <c r="C31" s="115"/>
      <c r="D31" s="116"/>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cJzMLx/b8iivzp/Z0iWNGD4vbt7i5Lu6qNwzUNl+0iadq1bR6cdaxqBWYwmLxbD+9CrRy/4N+nKCSAHxGKWRw==" saltValue="fUxvMBYmBSftz0EE5qPdm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112</v>
      </c>
      <c r="C8" s="115"/>
      <c r="D8" s="115"/>
      <c r="E8" s="115"/>
      <c r="F8" s="116"/>
      <c r="G8" s="1"/>
    </row>
    <row r="9" spans="1:7" ht="15" customHeight="1" x14ac:dyDescent="0.25">
      <c r="A9" s="1"/>
      <c r="B9" s="31" t="s">
        <v>113</v>
      </c>
      <c r="C9" s="31" t="s">
        <v>11</v>
      </c>
      <c r="D9" s="32"/>
      <c r="E9" s="31" t="s">
        <v>28</v>
      </c>
      <c r="F9" s="32"/>
      <c r="G9" s="1"/>
    </row>
    <row r="10" spans="1:7" ht="26.25" x14ac:dyDescent="0.25">
      <c r="A10" s="1"/>
      <c r="B10" s="71" t="s">
        <v>266</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236</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aVStaNRL4Ud+w3lnW7Qs9o9SCsFWXCVt8QL42OgTFfo8JER+QOGdINiIoy0+EyY7HVWDpiccJVIxNc03FuCJQ==" saltValue="4ITTIWrXoHtXIQAgTzVz5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237</v>
      </c>
      <c r="C9" s="115"/>
      <c r="D9" s="115"/>
      <c r="E9" s="115"/>
      <c r="F9" s="116"/>
      <c r="G9" s="1"/>
    </row>
    <row r="10" spans="1:7" ht="26.25" customHeight="1" x14ac:dyDescent="0.25">
      <c r="A10" s="1"/>
      <c r="B10" s="31" t="s">
        <v>18</v>
      </c>
      <c r="C10" s="144" t="s">
        <v>11</v>
      </c>
      <c r="D10" s="146"/>
      <c r="E10" s="144" t="s">
        <v>28</v>
      </c>
      <c r="F10" s="146"/>
      <c r="G10" s="1"/>
    </row>
    <row r="11" spans="1:7" x14ac:dyDescent="0.25">
      <c r="A11" s="1"/>
      <c r="B11" s="71" t="s">
        <v>267</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238</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G6jwjlbolM5CV3p+9QwKPWmr8nb8J0Byl6rQWg1cqNj5Q/CeDYFCVlpGRaql2hBIOfgM85XKds1A7sWqZVfCg==" saltValue="uWDt1ToO9PWezeIrlMwqk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3.140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105852457.23916899</v>
      </c>
      <c r="D9" s="8" t="s">
        <v>3</v>
      </c>
      <c r="E9" s="1"/>
    </row>
    <row r="10" spans="1:5" ht="17.25" customHeight="1" x14ac:dyDescent="0.25">
      <c r="A10" s="1"/>
      <c r="B10" s="88" t="s">
        <v>36</v>
      </c>
      <c r="C10" s="7">
        <f>'Fane 11.1. Varige tillæg'!C29</f>
        <v>3689021.1455999999</v>
      </c>
      <c r="D10" s="8" t="s">
        <v>3</v>
      </c>
      <c r="E10" s="1"/>
    </row>
    <row r="11" spans="1:5" ht="17.25" customHeight="1" x14ac:dyDescent="0.25">
      <c r="A11" s="1"/>
      <c r="B11" s="88" t="s">
        <v>37</v>
      </c>
      <c r="C11" s="9">
        <f>'Fane 11.1. Varige tillæg'!E29</f>
        <v>1926236.3455999999</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9006591.3502138127</v>
      </c>
      <c r="D16" s="8" t="s">
        <v>3</v>
      </c>
      <c r="E16" s="1"/>
    </row>
    <row r="17" spans="1:5" ht="17.25" customHeight="1" x14ac:dyDescent="0.25">
      <c r="A17" s="1"/>
      <c r="B17" s="88" t="s">
        <v>10</v>
      </c>
      <c r="C17" s="41">
        <f>-SUM(C9,C10:C16)*'Fane 5. Individuelt eff. krav'!G9</f>
        <v>-368468.46975607838</v>
      </c>
      <c r="D17" s="8" t="s">
        <v>3</v>
      </c>
      <c r="E17" s="1"/>
    </row>
    <row r="18" spans="1:5" ht="17.25" customHeight="1" x14ac:dyDescent="0.25">
      <c r="A18" s="1"/>
      <c r="B18" s="88" t="s">
        <v>23</v>
      </c>
      <c r="C18" s="41">
        <f>-'Fane 4.1. Gen. krav - drift'!G54</f>
        <v>-871481.3178323782</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119234356.29299434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3657635.3679336128</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41">
        <f>'Fane 11.2. Engangstillæg'!C14</f>
        <v>593767.96461248002</v>
      </c>
      <c r="D26" s="8" t="s">
        <v>3</v>
      </c>
      <c r="E26" s="1"/>
    </row>
    <row r="27" spans="1:5" ht="15" customHeight="1" x14ac:dyDescent="0.25">
      <c r="A27" s="1"/>
      <c r="B27" s="88" t="s">
        <v>70</v>
      </c>
      <c r="C27" s="41">
        <f>'Fane 11.2. Engangstillæg'!E14</f>
        <v>0</v>
      </c>
      <c r="D27" s="8" t="s">
        <v>3</v>
      </c>
      <c r="E27" s="1"/>
    </row>
    <row r="28" spans="1:5" ht="15" customHeight="1" x14ac:dyDescent="0.25">
      <c r="A28" s="1"/>
      <c r="B28" s="88" t="s">
        <v>161</v>
      </c>
      <c r="C28" s="41">
        <f>-C26*('Fane 15. Nøgletal'!C33+'Fane 5. Individuelt eff. krav'!G9)</f>
        <v>-13691.387791841878</v>
      </c>
      <c r="D28" s="8" t="s">
        <v>3</v>
      </c>
      <c r="E28" s="1"/>
    </row>
    <row r="29" spans="1:5" ht="15" customHeight="1" x14ac:dyDescent="0.25">
      <c r="A29" s="1"/>
      <c r="B29" s="88" t="s">
        <v>162</v>
      </c>
      <c r="C29" s="41">
        <f>-C27*('Fane 15. Nøgletal'!C28+'Fane 5. Individuelt eff. krav'!G9)</f>
        <v>0</v>
      </c>
      <c r="D29" s="8" t="s">
        <v>3</v>
      </c>
      <c r="E29" s="1"/>
    </row>
    <row r="30" spans="1:5" ht="15" customHeight="1" x14ac:dyDescent="0.25">
      <c r="A30" s="1"/>
      <c r="B30" s="70" t="s">
        <v>75</v>
      </c>
      <c r="C30" s="10">
        <f>SUM(C26:C29)</f>
        <v>580076.57682063815</v>
      </c>
      <c r="D30" s="11" t="s">
        <v>3</v>
      </c>
      <c r="E30" s="1"/>
    </row>
    <row r="31" spans="1:5" x14ac:dyDescent="0.25">
      <c r="A31" s="1"/>
      <c r="B31" s="33" t="s">
        <v>116</v>
      </c>
      <c r="C31" s="28"/>
      <c r="D31" s="19"/>
      <c r="E31" s="1"/>
    </row>
    <row r="32" spans="1:5" x14ac:dyDescent="0.25">
      <c r="A32" s="1"/>
      <c r="B32" s="31" t="s">
        <v>138</v>
      </c>
      <c r="C32" s="10">
        <f>'Fane 7. Kontrol af ØR2022'!E31</f>
        <v>-42406</v>
      </c>
      <c r="D32" s="11" t="s">
        <v>3</v>
      </c>
      <c r="E32" s="1"/>
    </row>
    <row r="33" spans="1:5" ht="15" customHeight="1" x14ac:dyDescent="0.25">
      <c r="A33" s="1"/>
      <c r="B33" s="33" t="s">
        <v>200</v>
      </c>
      <c r="C33" s="28"/>
      <c r="D33" s="19"/>
      <c r="E33" s="1"/>
    </row>
    <row r="34" spans="1:5" x14ac:dyDescent="0.25">
      <c r="A34" s="1"/>
      <c r="B34" s="31" t="s">
        <v>303</v>
      </c>
      <c r="C34" s="10">
        <f>'Fane 9. Korrektion af ØR2022'!E17</f>
        <v>-5810080.2968752766</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117619581.94087331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6EF4DPw0w2EWtQQgDdwsC7pqPPjYtap24NQeCfUo6fnQikwdjJ9fBx0jpimKQcIiTZMbZ80agFb1HZD3IN7BQ==" saltValue="JMfpVOdvs0W0NpDNjfvW9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GpTY7e7WmTsKo6+7uyrGefmcvSh4AR5oEsIgdFOnEqlIWvysKHw0m2mzM0yB9GS4o3OFCpP/lLzGOkiqX8j9gw==" saltValue="6dxni1zaeN5o0idvnh5C1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119234356.29299434</v>
      </c>
      <c r="D9" s="8" t="s">
        <v>3</v>
      </c>
      <c r="E9" s="1"/>
    </row>
    <row r="10" spans="1:5" ht="15" customHeight="1" x14ac:dyDescent="0.25">
      <c r="A10" s="1"/>
      <c r="B10" s="26" t="s">
        <v>19</v>
      </c>
      <c r="C10" s="7">
        <f>SUM(C9:C9)*'Fane 15. Nøgletal'!C16</f>
        <v>9634135.9884739425</v>
      </c>
      <c r="D10" s="8" t="s">
        <v>3</v>
      </c>
      <c r="E10" s="1"/>
    </row>
    <row r="11" spans="1:5" ht="15" customHeight="1" x14ac:dyDescent="0.25">
      <c r="A11" s="1"/>
      <c r="B11" s="26" t="s">
        <v>10</v>
      </c>
      <c r="C11" s="9">
        <f>-SUM(C9:C10)*'Fane 5. Individuelt eff. krav'!G9</f>
        <v>-394141.93528506026</v>
      </c>
      <c r="D11" s="8" t="s">
        <v>3</v>
      </c>
      <c r="E11" s="1"/>
    </row>
    <row r="12" spans="1:5" ht="15" customHeight="1" x14ac:dyDescent="0.25">
      <c r="A12" s="1"/>
      <c r="B12" s="26" t="s">
        <v>23</v>
      </c>
      <c r="C12" s="9">
        <f>-'Fane 4.1. Gen. krav - drift'!G59</f>
        <v>-923059.06814696954</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127551291.27803624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3953172.3056626488</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-42406</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131462057.58369888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HCkDH43rZrSEgZVyiEgHRDsNa2YBDtnhcpR2/lVUXenRTJ791AuSvfBUUELDMl8lBzUsVrXFOGkcFmKJqd0Sw==" saltValue="BTl4RyUAYq7mFyt0ERbMB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250</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127551291.27803624</v>
      </c>
      <c r="D9" s="8" t="s">
        <v>3</v>
      </c>
      <c r="E9" s="1"/>
    </row>
    <row r="10" spans="1:5" ht="15" customHeight="1" x14ac:dyDescent="0.25">
      <c r="A10" s="1"/>
      <c r="B10" s="26" t="s">
        <v>19</v>
      </c>
      <c r="C10" s="7">
        <f>SUM(C9:C9)*'Fane 15. Nøgletal'!C16</f>
        <v>10306144.335265327</v>
      </c>
      <c r="D10" s="8" t="s">
        <v>3</v>
      </c>
      <c r="E10" s="1"/>
    </row>
    <row r="11" spans="1:5" ht="15" customHeight="1" x14ac:dyDescent="0.25">
      <c r="A11" s="1"/>
      <c r="B11" s="26" t="s">
        <v>10</v>
      </c>
      <c r="C11" s="9">
        <f>-SUM(C9:C10)*'Fane 5. Individuelt eff. krav'!G9</f>
        <v>-421634.45466084569</v>
      </c>
      <c r="D11" s="8" t="s">
        <v>3</v>
      </c>
      <c r="E11" s="1"/>
    </row>
    <row r="12" spans="1:5" ht="15" customHeight="1" x14ac:dyDescent="0.25">
      <c r="A12" s="1"/>
      <c r="B12" s="26" t="s">
        <v>23</v>
      </c>
      <c r="C12" s="9">
        <f>-'Fane 4.1. Gen. krav - drift'!G64</f>
        <v>-977689.39603617985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136458111.76260456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4272588.6279601902</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140730700.39056474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NtrcaundG90ZXkUB6pyfcqhC6yHhDTYfyHb3w9Ty88E+SEfj/leunmQ0Ap/5/PeNSwQ1XR5gimJkuBkB62yHQ==" saltValue="H3J9xI1B08ZfGF4WWvDYn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250</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207</v>
      </c>
      <c r="C9" s="7">
        <f>'Fane 2.3. Økonomisk ramme 2026'!C14</f>
        <v>136458111.76260456</v>
      </c>
      <c r="D9" s="8" t="s">
        <v>3</v>
      </c>
      <c r="E9" s="1"/>
      <c r="F9" s="1"/>
    </row>
    <row r="10" spans="1:6" ht="15" customHeight="1" x14ac:dyDescent="0.25">
      <c r="A10" s="1"/>
      <c r="B10" s="26" t="s">
        <v>19</v>
      </c>
      <c r="C10" s="7">
        <f>SUM(C9:C9)*'Fane 15. Nøgletal'!C16</f>
        <v>11025815.430418449</v>
      </c>
      <c r="D10" s="8" t="s">
        <v>3</v>
      </c>
      <c r="E10" s="1"/>
      <c r="F10" s="1"/>
    </row>
    <row r="11" spans="1:6" ht="15" customHeight="1" x14ac:dyDescent="0.25">
      <c r="A11" s="1"/>
      <c r="B11" s="26" t="s">
        <v>10</v>
      </c>
      <c r="C11" s="9">
        <f>-SUM(C9:C10)*'Fane 5. Individuelt eff. krav'!G9</f>
        <v>-451076.90373481816</v>
      </c>
      <c r="D11" s="8" t="s">
        <v>3</v>
      </c>
      <c r="E11" s="1"/>
      <c r="F11" s="1"/>
    </row>
    <row r="12" spans="1:6" ht="15" customHeight="1" x14ac:dyDescent="0.25">
      <c r="A12" s="1"/>
      <c r="B12" s="26" t="s">
        <v>23</v>
      </c>
      <c r="C12" s="9">
        <f>-'Fane 4.1. Gen. krav - drift'!G69</f>
        <v>-1035552.9652511851</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145997297.32403702</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4617813.7890993739</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208</v>
      </c>
      <c r="C23" s="12">
        <f>SUM(C14,C16,C18,C20,C22)</f>
        <v>150615111.11313638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rTin2IHjxjCiAWIFFbIeOSM170YlyUvkfc2G3LVCjFCwT9KK2w7+BC3ZdUiDpcoZi3Fc2TzBEGJIm2QeWUv3fw==" saltValue="RzZMZTIqKgCepfAoowZ7t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251</v>
      </c>
      <c r="C8" s="28"/>
      <c r="D8" s="19"/>
      <c r="E8" s="1"/>
    </row>
    <row r="9" spans="1:5" x14ac:dyDescent="0.25">
      <c r="A9" s="1"/>
      <c r="B9" s="29" t="s">
        <v>252</v>
      </c>
      <c r="C9" s="7">
        <v>104701287.98810036</v>
      </c>
      <c r="D9" s="8" t="s">
        <v>3</v>
      </c>
      <c r="E9" s="1"/>
    </row>
    <row r="10" spans="1:5" x14ac:dyDescent="0.25">
      <c r="A10" s="1"/>
      <c r="B10" s="88" t="s">
        <v>36</v>
      </c>
      <c r="C10" s="7">
        <v>2755417.8132000002</v>
      </c>
      <c r="D10" s="8" t="s">
        <v>3</v>
      </c>
      <c r="E10" s="1"/>
    </row>
    <row r="11" spans="1:5" x14ac:dyDescent="0.25">
      <c r="A11" s="1"/>
      <c r="B11" s="88" t="s">
        <v>37</v>
      </c>
      <c r="C11" s="9">
        <v>985870.48800000013</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478704.11388345121</v>
      </c>
      <c r="D16" s="8" t="s">
        <v>3</v>
      </c>
      <c r="E16" s="1"/>
    </row>
    <row r="17" spans="1:5" x14ac:dyDescent="0.25">
      <c r="A17" s="1"/>
      <c r="B17" s="88" t="s">
        <v>10</v>
      </c>
      <c r="C17" s="41">
        <v>-1157075.3744122253</v>
      </c>
      <c r="D17" s="8" t="s">
        <v>3</v>
      </c>
      <c r="E17" s="1"/>
    </row>
    <row r="18" spans="1:5" x14ac:dyDescent="0.25">
      <c r="A18" s="1"/>
      <c r="B18" s="88" t="s">
        <v>23</v>
      </c>
      <c r="C18" s="41">
        <v>-747499.430456926</v>
      </c>
      <c r="D18" s="8" t="s">
        <v>3</v>
      </c>
      <c r="E18" s="1"/>
    </row>
    <row r="19" spans="1:5" x14ac:dyDescent="0.25">
      <c r="A19" s="1"/>
      <c r="B19" s="88" t="s">
        <v>24</v>
      </c>
      <c r="C19" s="41">
        <v>-1164248.3591456823</v>
      </c>
      <c r="D19" s="8" t="s">
        <v>3</v>
      </c>
      <c r="E19" s="47"/>
    </row>
    <row r="20" spans="1:5" x14ac:dyDescent="0.25">
      <c r="A20" s="1"/>
      <c r="B20" s="82" t="s">
        <v>21</v>
      </c>
      <c r="C20" s="10">
        <v>105852457.23916899</v>
      </c>
      <c r="D20" s="11" t="s">
        <v>3</v>
      </c>
      <c r="E20" s="1"/>
    </row>
    <row r="21" spans="1:5" x14ac:dyDescent="0.25">
      <c r="A21" s="1"/>
      <c r="B21" s="33" t="s">
        <v>12</v>
      </c>
      <c r="C21" s="28"/>
      <c r="D21" s="19"/>
      <c r="E21" s="1"/>
    </row>
    <row r="22" spans="1:5" x14ac:dyDescent="0.25">
      <c r="A22" s="1"/>
      <c r="B22" s="31" t="s">
        <v>12</v>
      </c>
      <c r="C22" s="10">
        <v>4642250.1713162176</v>
      </c>
      <c r="D22" s="11" t="s">
        <v>3</v>
      </c>
      <c r="E22" s="1"/>
    </row>
    <row r="23" spans="1:5" x14ac:dyDescent="0.25">
      <c r="A23" s="1"/>
      <c r="B23" s="33" t="s">
        <v>74</v>
      </c>
      <c r="C23" s="28"/>
      <c r="D23" s="19"/>
      <c r="E23" s="1"/>
    </row>
    <row r="24" spans="1:5" x14ac:dyDescent="0.25">
      <c r="A24" s="1"/>
      <c r="B24" s="82" t="s">
        <v>74</v>
      </c>
      <c r="C24" s="10">
        <v>987685.92675767443</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263</v>
      </c>
      <c r="C33" s="28"/>
      <c r="D33" s="19"/>
      <c r="E33" s="1"/>
    </row>
    <row r="34" spans="1:5" x14ac:dyDescent="0.25">
      <c r="A34" s="1"/>
      <c r="B34" s="31" t="s">
        <v>263</v>
      </c>
      <c r="C34" s="10">
        <v>979182.40023789578</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264</v>
      </c>
      <c r="C37" s="49">
        <v>112461575.73748077</v>
      </c>
      <c r="D37" s="30" t="s">
        <v>3</v>
      </c>
      <c r="E37" s="1"/>
    </row>
    <row r="38" spans="1:5" ht="30" customHeight="1" x14ac:dyDescent="0.25">
      <c r="A38" s="1"/>
      <c r="B38" s="112" t="s">
        <v>265</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4cmskqTSsKSEfzXtegwKdvAKd4tOZs1+wqEk2jPxAL+Rg/MhPhb8Fh7/PBauenfF5nxjLbQ88ENZqnxT7mYhw==" saltValue="yu7DOYUcMwQzyrWfa212e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4" t="s">
        <v>46</v>
      </c>
      <c r="C4" s="115"/>
      <c r="D4" s="115"/>
      <c r="E4" s="115"/>
      <c r="F4" s="115"/>
      <c r="G4" s="115"/>
      <c r="H4" s="116"/>
      <c r="I4" s="1"/>
    </row>
    <row r="5" spans="1:9" x14ac:dyDescent="0.25">
      <c r="A5" s="1"/>
      <c r="B5" s="117" t="s">
        <v>38</v>
      </c>
      <c r="C5" s="118"/>
      <c r="D5" s="118"/>
      <c r="E5" s="118"/>
      <c r="F5" s="119"/>
      <c r="G5" s="63">
        <v>30637337</v>
      </c>
      <c r="H5" s="14" t="s">
        <v>3</v>
      </c>
      <c r="I5" s="1"/>
    </row>
    <row r="6" spans="1:9" x14ac:dyDescent="0.25">
      <c r="A6" s="1"/>
      <c r="B6" s="126" t="s">
        <v>102</v>
      </c>
      <c r="C6" s="127"/>
      <c r="D6" s="127"/>
      <c r="E6" s="127"/>
      <c r="F6" s="128"/>
      <c r="G6" s="66">
        <v>1455821</v>
      </c>
      <c r="H6" s="14" t="s">
        <v>3</v>
      </c>
      <c r="I6" s="1"/>
    </row>
    <row r="7" spans="1:9" x14ac:dyDescent="0.25">
      <c r="A7" s="1"/>
      <c r="B7" s="117" t="s">
        <v>39</v>
      </c>
      <c r="C7" s="118"/>
      <c r="D7" s="118"/>
      <c r="E7" s="118"/>
      <c r="F7" s="119"/>
      <c r="G7" s="23">
        <f>SUM(G5:G6)*'Fane 15. Nøgletal'!C33</f>
        <v>641863.16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4" t="s">
        <v>47</v>
      </c>
      <c r="C10" s="115"/>
      <c r="D10" s="115"/>
      <c r="E10" s="115"/>
      <c r="F10" s="115"/>
      <c r="G10" s="115"/>
      <c r="H10" s="116"/>
      <c r="I10" s="1"/>
    </row>
    <row r="11" spans="1:9" x14ac:dyDescent="0.25">
      <c r="A11" s="1"/>
      <c r="B11" s="117" t="s">
        <v>40</v>
      </c>
      <c r="C11" s="118"/>
      <c r="D11" s="118"/>
      <c r="E11" s="118"/>
      <c r="F11" s="119"/>
      <c r="G11" s="23">
        <f>(G5-G7)*(1+'Fane 15. Nøgletal'!C10)</f>
        <v>30520394.632200003</v>
      </c>
      <c r="H11" s="14" t="s">
        <v>3</v>
      </c>
      <c r="I11" s="1"/>
    </row>
    <row r="12" spans="1:9" ht="15" customHeight="1" x14ac:dyDescent="0.25">
      <c r="A12" s="1"/>
      <c r="B12" s="117" t="s">
        <v>103</v>
      </c>
      <c r="C12" s="118"/>
      <c r="D12" s="118"/>
      <c r="E12" s="118"/>
      <c r="F12" s="119"/>
      <c r="G12" s="66">
        <v>4.0631474740803246E-2</v>
      </c>
      <c r="H12" s="14" t="s">
        <v>3</v>
      </c>
      <c r="I12" s="1"/>
    </row>
    <row r="13" spans="1:9" x14ac:dyDescent="0.25">
      <c r="A13" s="1"/>
      <c r="B13" s="126" t="s">
        <v>100</v>
      </c>
      <c r="C13" s="127"/>
      <c r="D13" s="127"/>
      <c r="E13" s="127"/>
      <c r="F13" s="128"/>
      <c r="G13" s="66">
        <v>1438677.8450000002</v>
      </c>
      <c r="H13" s="14" t="s">
        <v>3</v>
      </c>
      <c r="I13" s="1"/>
    </row>
    <row r="14" spans="1:9" x14ac:dyDescent="0.25">
      <c r="A14" s="1"/>
      <c r="B14" s="123" t="s">
        <v>241</v>
      </c>
      <c r="C14" s="124"/>
      <c r="D14" s="124"/>
      <c r="E14" s="124"/>
      <c r="F14" s="125"/>
      <c r="G14" s="66">
        <v>0</v>
      </c>
      <c r="H14" s="14" t="s">
        <v>3</v>
      </c>
      <c r="I14" s="1"/>
    </row>
    <row r="15" spans="1:9" x14ac:dyDescent="0.25">
      <c r="A15" s="1"/>
      <c r="B15" s="117" t="s">
        <v>41</v>
      </c>
      <c r="C15" s="118"/>
      <c r="D15" s="118"/>
      <c r="E15" s="118"/>
      <c r="F15" s="119"/>
      <c r="G15" s="23">
        <f>SUM(G11:G14)*'Fane 15. Nøgletal'!C33</f>
        <v>639181.45035662956</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4" t="s">
        <v>48</v>
      </c>
      <c r="C18" s="115"/>
      <c r="D18" s="115"/>
      <c r="E18" s="115"/>
      <c r="F18" s="115"/>
      <c r="G18" s="115"/>
      <c r="H18" s="116"/>
      <c r="I18" s="1"/>
    </row>
    <row r="19" spans="1:9" x14ac:dyDescent="0.25">
      <c r="A19" s="1"/>
      <c r="B19" s="117" t="s">
        <v>42</v>
      </c>
      <c r="C19" s="118"/>
      <c r="D19" s="118"/>
      <c r="E19" s="118"/>
      <c r="F19" s="119"/>
      <c r="G19" s="23">
        <f>(SUM(G11:G12,G14)-(G15))*(1+'Fane 15. Nøgletal'!C10)</f>
        <v>30404134.453868158</v>
      </c>
      <c r="H19" s="14" t="s">
        <v>3</v>
      </c>
      <c r="I19" s="1"/>
    </row>
    <row r="20" spans="1:9" x14ac:dyDescent="0.25">
      <c r="A20" s="1"/>
      <c r="B20" s="123" t="s">
        <v>242</v>
      </c>
      <c r="C20" s="124"/>
      <c r="D20" s="124"/>
      <c r="E20" s="124"/>
      <c r="F20" s="125"/>
      <c r="G20" s="66">
        <v>0</v>
      </c>
      <c r="H20" s="14" t="s">
        <v>3</v>
      </c>
      <c r="I20" s="1"/>
    </row>
    <row r="21" spans="1:9" x14ac:dyDescent="0.25">
      <c r="A21" s="1"/>
      <c r="B21" s="117" t="s">
        <v>43</v>
      </c>
      <c r="C21" s="118"/>
      <c r="D21" s="118"/>
      <c r="E21" s="118"/>
      <c r="F21" s="119"/>
      <c r="G21" s="23">
        <f>SUM(G19:G20)*'Fane 15. Nøgletal'!C33</f>
        <v>608082.68907736323</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4" t="s">
        <v>49</v>
      </c>
      <c r="C24" s="115"/>
      <c r="D24" s="115"/>
      <c r="E24" s="115"/>
      <c r="F24" s="115"/>
      <c r="G24" s="115"/>
      <c r="H24" s="116"/>
      <c r="I24" s="1"/>
    </row>
    <row r="25" spans="1:9" x14ac:dyDescent="0.25">
      <c r="A25" s="1"/>
      <c r="B25" s="117" t="s">
        <v>44</v>
      </c>
      <c r="C25" s="118"/>
      <c r="D25" s="118"/>
      <c r="E25" s="118"/>
      <c r="F25" s="119"/>
      <c r="G25" s="23">
        <f>(G19+G20-G21)*(1+'Fane 15. Nøgletal'!C12)</f>
        <v>30383033.984557174</v>
      </c>
      <c r="H25" s="14" t="s">
        <v>3</v>
      </c>
      <c r="I25" s="1"/>
    </row>
    <row r="26" spans="1:9" x14ac:dyDescent="0.25">
      <c r="A26" s="1"/>
      <c r="B26" s="123" t="s">
        <v>243</v>
      </c>
      <c r="C26" s="124"/>
      <c r="D26" s="124"/>
      <c r="E26" s="124"/>
      <c r="F26" s="125"/>
      <c r="G26" s="66">
        <v>111041.04970728001</v>
      </c>
      <c r="H26" s="14" t="s">
        <v>3</v>
      </c>
      <c r="I26" s="1"/>
    </row>
    <row r="27" spans="1:9" x14ac:dyDescent="0.25">
      <c r="A27" s="1"/>
      <c r="B27" s="117" t="s">
        <v>45</v>
      </c>
      <c r="C27" s="118"/>
      <c r="D27" s="118"/>
      <c r="E27" s="118"/>
      <c r="F27" s="119"/>
      <c r="G27" s="23">
        <f>(G25+G26)*'Fane 15. Nøgletal'!C33</f>
        <v>609881.50068528904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4" t="s">
        <v>52</v>
      </c>
      <c r="C30" s="115"/>
      <c r="D30" s="115"/>
      <c r="E30" s="115"/>
      <c r="F30" s="115"/>
      <c r="G30" s="115"/>
      <c r="H30" s="116"/>
      <c r="I30" s="1"/>
    </row>
    <row r="31" spans="1:9" x14ac:dyDescent="0.25">
      <c r="A31" s="1"/>
      <c r="B31" s="117" t="s">
        <v>53</v>
      </c>
      <c r="C31" s="118"/>
      <c r="D31" s="118"/>
      <c r="E31" s="118"/>
      <c r="F31" s="119"/>
      <c r="G31" s="23">
        <f>(G25+G26-G27)*(1+'Fane 15. Nøgletal'!C12)</f>
        <v>30472912.146190673</v>
      </c>
      <c r="H31" s="14" t="s">
        <v>3</v>
      </c>
      <c r="I31" s="1"/>
    </row>
    <row r="32" spans="1:9" x14ac:dyDescent="0.25">
      <c r="A32" s="1"/>
      <c r="B32" s="117" t="s">
        <v>240</v>
      </c>
      <c r="C32" s="118"/>
      <c r="D32" s="118"/>
      <c r="E32" s="118"/>
      <c r="F32" s="119"/>
      <c r="G32" s="63">
        <v>4331726.9243942397</v>
      </c>
      <c r="H32" s="14" t="s">
        <v>3</v>
      </c>
      <c r="I32" s="1"/>
    </row>
    <row r="33" spans="1:9" x14ac:dyDescent="0.25">
      <c r="A33" s="1"/>
      <c r="B33" s="117" t="s">
        <v>54</v>
      </c>
      <c r="C33" s="118"/>
      <c r="D33" s="118"/>
      <c r="E33" s="118"/>
      <c r="F33" s="119"/>
      <c r="G33" s="23">
        <f>(G31+G32)*'Fane 15. Nøgletal'!C33</f>
        <v>696092.78141169832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4" t="s">
        <v>126</v>
      </c>
      <c r="C36" s="115"/>
      <c r="D36" s="115"/>
      <c r="E36" s="115"/>
      <c r="F36" s="115"/>
      <c r="G36" s="115"/>
      <c r="H36" s="116"/>
      <c r="I36" s="1"/>
    </row>
    <row r="37" spans="1:9" x14ac:dyDescent="0.25">
      <c r="A37" s="1"/>
      <c r="B37" s="117" t="s">
        <v>68</v>
      </c>
      <c r="C37" s="118"/>
      <c r="D37" s="118"/>
      <c r="E37" s="118"/>
      <c r="F37" s="119"/>
      <c r="G37" s="23">
        <f>(G31+G32-G33)*(1+'Fane 15. Nøgletal'!C14)</f>
        <v>34221104.49192749</v>
      </c>
      <c r="H37" s="14" t="s">
        <v>3</v>
      </c>
      <c r="I37" s="1"/>
    </row>
    <row r="38" spans="1:9" x14ac:dyDescent="0.25">
      <c r="A38" s="1"/>
      <c r="B38" s="117" t="s">
        <v>239</v>
      </c>
      <c r="C38" s="118"/>
      <c r="D38" s="118"/>
      <c r="E38" s="118"/>
      <c r="F38" s="119"/>
      <c r="G38" s="63">
        <v>889012.56616486015</v>
      </c>
      <c r="H38" s="14" t="s">
        <v>3</v>
      </c>
      <c r="I38" s="1"/>
    </row>
    <row r="39" spans="1:9" x14ac:dyDescent="0.25">
      <c r="A39" s="1"/>
      <c r="B39" s="117" t="s">
        <v>128</v>
      </c>
      <c r="C39" s="118"/>
      <c r="D39" s="118"/>
      <c r="E39" s="118"/>
      <c r="F39" s="119"/>
      <c r="G39" s="23">
        <f>(G37+G38)*'Fane 15. Nøgletal'!C33</f>
        <v>702202.341161847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4" t="s">
        <v>127</v>
      </c>
      <c r="C42" s="115"/>
      <c r="D42" s="115"/>
      <c r="E42" s="115"/>
      <c r="F42" s="115"/>
      <c r="G42" s="115"/>
      <c r="H42" s="116"/>
      <c r="I42" s="1"/>
    </row>
    <row r="43" spans="1:9" x14ac:dyDescent="0.25">
      <c r="A43" s="1"/>
      <c r="B43" s="117" t="s">
        <v>155</v>
      </c>
      <c r="C43" s="118"/>
      <c r="D43" s="118"/>
      <c r="E43" s="118"/>
      <c r="F43" s="119"/>
      <c r="G43" s="23">
        <f>(G37+G38-G39)*(1+'Fane 15. Nøgletal'!C14)</f>
        <v>34521460.835496373</v>
      </c>
      <c r="H43" s="14" t="s">
        <v>3</v>
      </c>
      <c r="I43" s="1"/>
    </row>
    <row r="44" spans="1:9" x14ac:dyDescent="0.25">
      <c r="A44" s="1"/>
      <c r="B44" s="120" t="s">
        <v>157</v>
      </c>
      <c r="C44" s="121"/>
      <c r="D44" s="121"/>
      <c r="E44" s="121"/>
      <c r="F44" s="122"/>
      <c r="G44" s="45">
        <v>2853510.6873499206</v>
      </c>
      <c r="H44" s="14" t="s">
        <v>3</v>
      </c>
      <c r="I44" s="1"/>
    </row>
    <row r="45" spans="1:9" x14ac:dyDescent="0.25">
      <c r="A45" s="1"/>
      <c r="B45" s="117" t="s">
        <v>129</v>
      </c>
      <c r="C45" s="118"/>
      <c r="D45" s="118"/>
      <c r="E45" s="118"/>
      <c r="F45" s="119"/>
      <c r="G45" s="23">
        <f>SUM(G43:G44)*'Fane 15. Nøgletal'!C33</f>
        <v>747499.430456926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4" t="s">
        <v>192</v>
      </c>
      <c r="C51" s="115"/>
      <c r="D51" s="115"/>
      <c r="E51" s="115"/>
      <c r="F51" s="115"/>
      <c r="G51" s="115"/>
      <c r="H51" s="116"/>
      <c r="I51" s="1"/>
    </row>
    <row r="52" spans="1:9" x14ac:dyDescent="0.25">
      <c r="A52" s="1"/>
      <c r="B52" s="117" t="s">
        <v>154</v>
      </c>
      <c r="C52" s="118"/>
      <c r="D52" s="118"/>
      <c r="E52" s="118"/>
      <c r="F52" s="119"/>
      <c r="G52" s="23">
        <f>(G43+G44-G45)*(1+'Fane 15. Nøgletal'!C16)</f>
        <v>39586971.837454431</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3987094.05416448</v>
      </c>
      <c r="H53" s="14" t="s">
        <v>3</v>
      </c>
      <c r="I53" s="1"/>
    </row>
    <row r="54" spans="1:9" x14ac:dyDescent="0.25">
      <c r="A54" s="1"/>
      <c r="B54" s="117" t="s">
        <v>209</v>
      </c>
      <c r="C54" s="118"/>
      <c r="D54" s="118"/>
      <c r="E54" s="118"/>
      <c r="F54" s="119"/>
      <c r="G54" s="23">
        <f>(G52)*'Fane 15. Nøgletal'!C33+(G53)*'Fane 15. Nøgletal'!C33</f>
        <v>871481.3178323782</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4" t="s">
        <v>193</v>
      </c>
      <c r="C57" s="115"/>
      <c r="D57" s="115"/>
      <c r="E57" s="115"/>
      <c r="F57" s="115"/>
      <c r="G57" s="115"/>
      <c r="H57" s="116"/>
      <c r="I57" s="1"/>
    </row>
    <row r="58" spans="1:9" x14ac:dyDescent="0.25">
      <c r="A58" s="1"/>
      <c r="B58" s="78" t="s">
        <v>211</v>
      </c>
      <c r="C58" s="79"/>
      <c r="D58" s="79"/>
      <c r="E58" s="79"/>
      <c r="F58" s="80"/>
      <c r="G58" s="23">
        <f>(G52+G53-G54)*(1+'Fane 15. Nøgletal'!C16)</f>
        <v>46152953.407348476</v>
      </c>
      <c r="H58" s="14" t="s">
        <v>3</v>
      </c>
      <c r="I58" s="1"/>
    </row>
    <row r="59" spans="1:9" x14ac:dyDescent="0.25">
      <c r="A59" s="1"/>
      <c r="B59" s="78" t="s">
        <v>210</v>
      </c>
      <c r="C59" s="79"/>
      <c r="D59" s="79"/>
      <c r="E59" s="79"/>
      <c r="F59" s="80"/>
      <c r="G59" s="23">
        <f>(G58)*'Fane 15. Nøgletal'!C33</f>
        <v>923059.06814696954</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4" t="s">
        <v>253</v>
      </c>
      <c r="C62" s="115"/>
      <c r="D62" s="115"/>
      <c r="E62" s="115"/>
      <c r="F62" s="115"/>
      <c r="G62" s="115"/>
      <c r="H62" s="116"/>
      <c r="I62" s="1"/>
    </row>
    <row r="63" spans="1:9" x14ac:dyDescent="0.25">
      <c r="A63" s="1"/>
      <c r="B63" s="78" t="s">
        <v>212</v>
      </c>
      <c r="C63" s="79"/>
      <c r="D63" s="79"/>
      <c r="E63" s="79"/>
      <c r="F63" s="80"/>
      <c r="G63" s="23">
        <f>(G58-G59)*(1+'Fane 15. Nøgletal'!C16)</f>
        <v>48884469.801808991</v>
      </c>
      <c r="H63" s="14" t="s">
        <v>3</v>
      </c>
      <c r="I63" s="1"/>
    </row>
    <row r="64" spans="1:9" x14ac:dyDescent="0.25">
      <c r="A64" s="1"/>
      <c r="B64" s="78" t="s">
        <v>213</v>
      </c>
      <c r="C64" s="79"/>
      <c r="D64" s="79"/>
      <c r="E64" s="79"/>
      <c r="F64" s="80"/>
      <c r="G64" s="23">
        <f>(G63)*'Fane 15. Nøgletal'!C33</f>
        <v>977689.39603617985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4" t="s">
        <v>254</v>
      </c>
      <c r="C67" s="115"/>
      <c r="D67" s="115"/>
      <c r="E67" s="115"/>
      <c r="F67" s="115"/>
      <c r="G67" s="115"/>
      <c r="H67" s="116"/>
      <c r="I67" s="1"/>
    </row>
    <row r="68" spans="1:9" x14ac:dyDescent="0.25">
      <c r="A68" s="1"/>
      <c r="B68" s="78" t="s">
        <v>212</v>
      </c>
      <c r="C68" s="79"/>
      <c r="D68" s="79"/>
      <c r="E68" s="79"/>
      <c r="F68" s="80"/>
      <c r="G68" s="23">
        <f>(G63-G64)*(1+'Fane 15. Nøgletal'!C16)</f>
        <v>51777648.262559257</v>
      </c>
      <c r="H68" s="14" t="s">
        <v>3</v>
      </c>
      <c r="I68" s="1"/>
    </row>
    <row r="69" spans="1:9" x14ac:dyDescent="0.25">
      <c r="A69" s="1"/>
      <c r="B69" s="78" t="s">
        <v>213</v>
      </c>
      <c r="C69" s="79"/>
      <c r="D69" s="79"/>
      <c r="E69" s="79"/>
      <c r="F69" s="80"/>
      <c r="G69" s="23">
        <f>(G68)*'Fane 15. Nøgletal'!C33</f>
        <v>1035552.9652511851</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s2z92niblouv8UezKylZlAL/Jhp0J35fKJCVwYVx8xl+Gap8zDp9Vo9OFZgrfUZE09JFPIME9CjXkzz1rjG+5A==" saltValue="fPwJViyd0PVn3zoRHIiP+w=="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4" t="s">
        <v>50</v>
      </c>
      <c r="C4" s="115"/>
      <c r="D4" s="115"/>
      <c r="E4" s="115"/>
      <c r="F4" s="115"/>
      <c r="G4" s="115"/>
      <c r="H4" s="116"/>
      <c r="I4" s="1"/>
    </row>
    <row r="5" spans="1:9" x14ac:dyDescent="0.25">
      <c r="A5" s="1"/>
      <c r="B5" s="117" t="s">
        <v>55</v>
      </c>
      <c r="C5" s="118"/>
      <c r="D5" s="118"/>
      <c r="E5" s="118"/>
      <c r="F5" s="119"/>
      <c r="G5" s="63">
        <v>73577690</v>
      </c>
      <c r="H5" s="14" t="s">
        <v>3</v>
      </c>
      <c r="I5" s="1"/>
    </row>
    <row r="6" spans="1:9" x14ac:dyDescent="0.25">
      <c r="A6" s="1"/>
      <c r="B6" s="117" t="s">
        <v>51</v>
      </c>
      <c r="C6" s="118"/>
      <c r="D6" s="118"/>
      <c r="E6" s="118"/>
      <c r="F6" s="119"/>
      <c r="G6" s="23">
        <f>G5*'Fane 15. Nøgletal'!C21</f>
        <v>669556.97900000005</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4" t="s">
        <v>56</v>
      </c>
      <c r="C9" s="115"/>
      <c r="D9" s="115"/>
      <c r="E9" s="115"/>
      <c r="F9" s="115"/>
      <c r="G9" s="115"/>
      <c r="H9" s="116"/>
      <c r="I9" s="1"/>
    </row>
    <row r="10" spans="1:9" x14ac:dyDescent="0.25">
      <c r="A10" s="1"/>
      <c r="B10" s="117" t="s">
        <v>57</v>
      </c>
      <c r="C10" s="118"/>
      <c r="D10" s="118"/>
      <c r="E10" s="118"/>
      <c r="F10" s="119"/>
      <c r="G10" s="23">
        <f>(G5-G6)*(1+'Fane 15. Nøgletal'!C10)</f>
        <v>74184025.348867506</v>
      </c>
      <c r="H10" s="14" t="s">
        <v>3</v>
      </c>
      <c r="I10" s="1"/>
    </row>
    <row r="11" spans="1:9" x14ac:dyDescent="0.25">
      <c r="A11" s="1"/>
      <c r="B11" s="117" t="s">
        <v>104</v>
      </c>
      <c r="C11" s="118"/>
      <c r="D11" s="118"/>
      <c r="E11" s="118"/>
      <c r="F11" s="119"/>
      <c r="G11" s="63">
        <v>-508258.30349128845</v>
      </c>
      <c r="H11" s="14" t="s">
        <v>3</v>
      </c>
      <c r="I11" s="1"/>
    </row>
    <row r="12" spans="1:9" x14ac:dyDescent="0.25">
      <c r="A12" s="1"/>
      <c r="B12" s="123" t="s">
        <v>244</v>
      </c>
      <c r="C12" s="124"/>
      <c r="D12" s="124"/>
      <c r="E12" s="124"/>
      <c r="F12" s="125"/>
      <c r="G12" s="66">
        <v>0</v>
      </c>
      <c r="H12" s="14" t="s">
        <v>3</v>
      </c>
      <c r="I12" s="1"/>
    </row>
    <row r="13" spans="1:9" x14ac:dyDescent="0.25">
      <c r="A13" s="1"/>
      <c r="B13" s="117" t="s">
        <v>58</v>
      </c>
      <c r="C13" s="118"/>
      <c r="D13" s="118"/>
      <c r="E13" s="118"/>
      <c r="F13" s="119"/>
      <c r="G13" s="23">
        <f>SUM(G10:G12)*'Fane 15. Nøgletal'!C22</f>
        <v>1304061.0767031589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4" t="s">
        <v>59</v>
      </c>
      <c r="C16" s="115"/>
      <c r="D16" s="115"/>
      <c r="E16" s="115"/>
      <c r="F16" s="115"/>
      <c r="G16" s="115"/>
      <c r="H16" s="116"/>
      <c r="I16" s="1"/>
    </row>
    <row r="17" spans="1:9" x14ac:dyDescent="0.25">
      <c r="A17" s="1"/>
      <c r="B17" s="117" t="s">
        <v>60</v>
      </c>
      <c r="C17" s="118"/>
      <c r="D17" s="118"/>
      <c r="E17" s="118"/>
      <c r="F17" s="119"/>
      <c r="G17" s="23">
        <f>(SUM(G10:G12)-G13)*(1+'Fane 15. Nøgletal'!C10)</f>
        <v>73638210.823124841</v>
      </c>
      <c r="H17" s="14" t="s">
        <v>3</v>
      </c>
      <c r="I17" s="1"/>
    </row>
    <row r="18" spans="1:9" x14ac:dyDescent="0.25">
      <c r="A18" s="1"/>
      <c r="B18" s="123" t="s">
        <v>245</v>
      </c>
      <c r="C18" s="124"/>
      <c r="D18" s="124"/>
      <c r="E18" s="124"/>
      <c r="F18" s="125"/>
      <c r="G18" s="63">
        <v>2874403.3044357696</v>
      </c>
      <c r="H18" s="14" t="s">
        <v>3</v>
      </c>
      <c r="I18" s="1"/>
    </row>
    <row r="19" spans="1:9" x14ac:dyDescent="0.25">
      <c r="A19" s="1"/>
      <c r="B19" s="117" t="s">
        <v>61</v>
      </c>
      <c r="C19" s="118"/>
      <c r="D19" s="118"/>
      <c r="E19" s="118"/>
      <c r="F19" s="119"/>
      <c r="G19" s="23">
        <f>G17*'Fane 15. Nøgletal'!C22+G18*'Fane 15. Nøgletal'!C23</f>
        <v>1328403.640317901</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4" t="s">
        <v>62</v>
      </c>
      <c r="C22" s="115"/>
      <c r="D22" s="115"/>
      <c r="E22" s="115"/>
      <c r="F22" s="115"/>
      <c r="G22" s="115"/>
      <c r="H22" s="116"/>
      <c r="I22" s="1"/>
    </row>
    <row r="23" spans="1:9" x14ac:dyDescent="0.25">
      <c r="A23" s="1"/>
      <c r="B23" s="117" t="s">
        <v>63</v>
      </c>
      <c r="C23" s="118"/>
      <c r="D23" s="118"/>
      <c r="E23" s="118"/>
      <c r="F23" s="119"/>
      <c r="G23" s="23">
        <f>(G17+G18-G19)*(1+'Fane 15. Nøgletal'!C12)</f>
        <v>76665339.433841392</v>
      </c>
      <c r="H23" s="14" t="s">
        <v>3</v>
      </c>
      <c r="I23" s="1"/>
    </row>
    <row r="24" spans="1:9" x14ac:dyDescent="0.25">
      <c r="A24" s="1"/>
      <c r="B24" s="123" t="s">
        <v>246</v>
      </c>
      <c r="C24" s="124"/>
      <c r="D24" s="124"/>
      <c r="E24" s="124"/>
      <c r="F24" s="125"/>
      <c r="G24" s="63">
        <v>1193092.3386857377</v>
      </c>
      <c r="H24" s="14" t="s">
        <v>3</v>
      </c>
      <c r="I24" s="1"/>
    </row>
    <row r="25" spans="1:9" x14ac:dyDescent="0.25">
      <c r="A25" s="1"/>
      <c r="B25" s="117" t="s">
        <v>64</v>
      </c>
      <c r="C25" s="118"/>
      <c r="D25" s="118"/>
      <c r="E25" s="118"/>
      <c r="F25" s="119"/>
      <c r="G25" s="23">
        <f>(G23+G24)*'Fane 15. Nøgletal'!C24</f>
        <v>2211179.4623397705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4" t="s">
        <v>65</v>
      </c>
      <c r="C28" s="115"/>
      <c r="D28" s="115"/>
      <c r="E28" s="115"/>
      <c r="F28" s="115"/>
      <c r="G28" s="115"/>
      <c r="H28" s="116"/>
      <c r="I28" s="1"/>
    </row>
    <row r="29" spans="1:9" x14ac:dyDescent="0.25">
      <c r="A29" s="1"/>
      <c r="B29" s="117" t="s">
        <v>66</v>
      </c>
      <c r="C29" s="118"/>
      <c r="D29" s="118"/>
      <c r="E29" s="118"/>
      <c r="F29" s="119"/>
      <c r="G29" s="23">
        <f>(G23+G24-G25)*(1+'Fane 15. Nøgletal'!C12)</f>
        <v>77137503.180698052</v>
      </c>
      <c r="H29" s="14" t="s">
        <v>3</v>
      </c>
      <c r="I29" s="1"/>
    </row>
    <row r="30" spans="1:9" x14ac:dyDescent="0.25">
      <c r="A30" s="1"/>
      <c r="B30" s="117" t="s">
        <v>247</v>
      </c>
      <c r="C30" s="118"/>
      <c r="D30" s="118"/>
      <c r="E30" s="118"/>
      <c r="F30" s="119"/>
      <c r="G30" s="63">
        <v>4343488.7450774396</v>
      </c>
      <c r="H30" s="14" t="s">
        <v>3</v>
      </c>
      <c r="I30" s="1"/>
    </row>
    <row r="31" spans="1:9" x14ac:dyDescent="0.25">
      <c r="A31" s="1"/>
      <c r="B31" s="117" t="s">
        <v>67</v>
      </c>
      <c r="C31" s="118"/>
      <c r="D31" s="118"/>
      <c r="E31" s="118"/>
      <c r="F31" s="119"/>
      <c r="G31" s="23">
        <f>G29*'Fane 15. Nøgletal'!C24+G30*'Fane 15. Nøgletal'!C25</f>
        <v>2310151.0308214547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4" t="s">
        <v>130</v>
      </c>
      <c r="C34" s="115"/>
      <c r="D34" s="115"/>
      <c r="E34" s="115"/>
      <c r="F34" s="115"/>
      <c r="G34" s="115"/>
      <c r="H34" s="116"/>
      <c r="I34" s="1"/>
    </row>
    <row r="35" spans="1:9" x14ac:dyDescent="0.25">
      <c r="A35" s="1"/>
      <c r="B35" s="117" t="s">
        <v>214</v>
      </c>
      <c r="C35" s="118"/>
      <c r="D35" s="118"/>
      <c r="E35" s="118"/>
      <c r="F35" s="119"/>
      <c r="G35" s="23">
        <f>(G29+G30-G31)*(1+'Fane 15. Nøgletal'!C14)</f>
        <v>79432104.669907391</v>
      </c>
      <c r="H35" s="14" t="s">
        <v>3</v>
      </c>
      <c r="I35" s="1"/>
    </row>
    <row r="36" spans="1:9" x14ac:dyDescent="0.25">
      <c r="A36" s="1"/>
      <c r="B36" s="117" t="s">
        <v>248</v>
      </c>
      <c r="C36" s="118"/>
      <c r="D36" s="118"/>
      <c r="E36" s="118"/>
      <c r="F36" s="119"/>
      <c r="G36" s="63">
        <v>152434.10690537002</v>
      </c>
      <c r="H36" s="14" t="s">
        <v>3</v>
      </c>
      <c r="I36" s="1"/>
    </row>
    <row r="37" spans="1:9" x14ac:dyDescent="0.25">
      <c r="A37" s="1"/>
      <c r="B37" s="117" t="s">
        <v>131</v>
      </c>
      <c r="C37" s="118"/>
      <c r="D37" s="118"/>
      <c r="E37" s="118"/>
      <c r="F37" s="119"/>
      <c r="G37" s="23">
        <f>(G35+G36)*'Fane 15. Nøgletal'!C26</f>
        <v>1177851.1738968289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4" t="s">
        <v>151</v>
      </c>
      <c r="C40" s="115"/>
      <c r="D40" s="115"/>
      <c r="E40" s="115"/>
      <c r="F40" s="115"/>
      <c r="G40" s="115"/>
      <c r="H40" s="116"/>
      <c r="I40" s="1"/>
    </row>
    <row r="41" spans="1:9" x14ac:dyDescent="0.25">
      <c r="A41" s="1"/>
      <c r="B41" s="117" t="s">
        <v>215</v>
      </c>
      <c r="C41" s="118"/>
      <c r="D41" s="118"/>
      <c r="E41" s="118"/>
      <c r="F41" s="119"/>
      <c r="G41" s="23">
        <f>(G35+G36-G37)*(1+'Fane 15. Nøgletal'!C14)</f>
        <v>78665429.672005564</v>
      </c>
      <c r="H41" s="14" t="s">
        <v>3</v>
      </c>
      <c r="I41" s="1"/>
    </row>
    <row r="42" spans="1:9" x14ac:dyDescent="0.25">
      <c r="A42" s="1"/>
      <c r="B42" s="40" t="s">
        <v>156</v>
      </c>
      <c r="C42" s="79"/>
      <c r="D42" s="79"/>
      <c r="E42" s="79"/>
      <c r="F42" s="80"/>
      <c r="G42" s="23">
        <v>1020967.4773728002</v>
      </c>
      <c r="H42" s="14" t="s">
        <v>3</v>
      </c>
      <c r="I42" s="1"/>
    </row>
    <row r="43" spans="1:9" x14ac:dyDescent="0.25">
      <c r="A43" s="1"/>
      <c r="B43" s="117" t="s">
        <v>132</v>
      </c>
      <c r="C43" s="118"/>
      <c r="D43" s="118"/>
      <c r="E43" s="118"/>
      <c r="F43" s="119"/>
      <c r="G43" s="23">
        <f>(G41)*'Fane 15. Nøgletal'!C26+G42*'Fane 15. Nøgletal'!C27</f>
        <v>1164248.3591456823</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4" t="s">
        <v>256</v>
      </c>
      <c r="C52" s="115"/>
      <c r="D52" s="115"/>
      <c r="E52" s="115"/>
      <c r="F52" s="115"/>
      <c r="G52" s="115"/>
      <c r="H52" s="116"/>
      <c r="I52" s="1"/>
    </row>
    <row r="53" spans="1:9" x14ac:dyDescent="0.25">
      <c r="A53" s="1"/>
      <c r="B53" s="117" t="s">
        <v>216</v>
      </c>
      <c r="C53" s="118"/>
      <c r="D53" s="118"/>
      <c r="E53" s="118"/>
      <c r="F53" s="119"/>
      <c r="G53" s="23">
        <f>(G41+G42-G43)*(1+'Fane 15. Nøgletal'!C16)</f>
        <v>84866738.412483469</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2081876.2423244799</v>
      </c>
      <c r="H54" s="14" t="s">
        <v>3</v>
      </c>
      <c r="I54" s="1"/>
    </row>
    <row r="55" spans="1:9" x14ac:dyDescent="0.25">
      <c r="A55" s="1"/>
      <c r="B55" s="117" t="s">
        <v>217</v>
      </c>
      <c r="C55" s="118"/>
      <c r="D55" s="118"/>
      <c r="E55" s="118"/>
      <c r="F55" s="119"/>
      <c r="G55" s="72">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4" t="s">
        <v>255</v>
      </c>
      <c r="C58" s="115"/>
      <c r="D58" s="115"/>
      <c r="E58" s="115"/>
      <c r="F58" s="115"/>
      <c r="G58" s="115"/>
      <c r="H58" s="116"/>
      <c r="I58" s="1"/>
    </row>
    <row r="59" spans="1:9" x14ac:dyDescent="0.25">
      <c r="A59" s="1"/>
      <c r="B59" s="117" t="s">
        <v>218</v>
      </c>
      <c r="C59" s="118"/>
      <c r="D59" s="118"/>
      <c r="E59" s="118"/>
      <c r="F59" s="119"/>
      <c r="G59" s="23">
        <f>(G53+G54-G55)*(1+'Fane 15. Nøgletal'!C16)</f>
        <v>93974062.718916431</v>
      </c>
      <c r="H59" s="14" t="s">
        <v>3</v>
      </c>
      <c r="I59" s="1"/>
    </row>
    <row r="60" spans="1:9" x14ac:dyDescent="0.25">
      <c r="A60" s="1"/>
      <c r="B60" s="117" t="s">
        <v>219</v>
      </c>
      <c r="C60" s="118"/>
      <c r="D60" s="118"/>
      <c r="E60" s="118"/>
      <c r="F60" s="119"/>
      <c r="G60" s="72">
        <f>SUM(G58:G59)*'Fane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4" t="s">
        <v>141</v>
      </c>
      <c r="C63" s="115"/>
      <c r="D63" s="115"/>
      <c r="E63" s="115"/>
      <c r="F63" s="115"/>
      <c r="G63" s="115"/>
      <c r="H63" s="116"/>
      <c r="I63" s="1"/>
    </row>
    <row r="64" spans="1:9" x14ac:dyDescent="0.25">
      <c r="A64" s="1"/>
      <c r="B64" s="117" t="s">
        <v>220</v>
      </c>
      <c r="C64" s="118"/>
      <c r="D64" s="118"/>
      <c r="E64" s="118"/>
      <c r="F64" s="119"/>
      <c r="G64" s="23">
        <f>(G59-G60)*(1+'Fane 15. Nøgletal'!C16)</f>
        <v>101567166.98660488</v>
      </c>
      <c r="H64" s="14" t="s">
        <v>3</v>
      </c>
      <c r="I64" s="1"/>
    </row>
    <row r="65" spans="1:9" x14ac:dyDescent="0.25">
      <c r="A65" s="1"/>
      <c r="B65" s="117" t="s">
        <v>221</v>
      </c>
      <c r="C65" s="118"/>
      <c r="D65" s="118"/>
      <c r="E65" s="118"/>
      <c r="F65" s="119"/>
      <c r="G65" s="72">
        <f>SUM(G63:G64)*'Fane 15. Nøgletal'!C38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4" t="s">
        <v>222</v>
      </c>
      <c r="C68" s="115"/>
      <c r="D68" s="115"/>
      <c r="E68" s="115"/>
      <c r="F68" s="115"/>
      <c r="G68" s="115"/>
      <c r="H68" s="116"/>
      <c r="I68" s="1"/>
    </row>
    <row r="69" spans="1:9" x14ac:dyDescent="0.25">
      <c r="A69" s="1"/>
      <c r="B69" s="117" t="s">
        <v>220</v>
      </c>
      <c r="C69" s="118"/>
      <c r="D69" s="118"/>
      <c r="E69" s="118"/>
      <c r="F69" s="119"/>
      <c r="G69" s="23">
        <f>(G64-G65)*(1+'Fane 15. Nøgletal'!C16)</f>
        <v>109773794.07912256</v>
      </c>
      <c r="H69" s="14" t="s">
        <v>3</v>
      </c>
      <c r="I69" s="1"/>
    </row>
    <row r="70" spans="1:9" x14ac:dyDescent="0.25">
      <c r="A70" s="1"/>
      <c r="B70" s="117" t="s">
        <v>221</v>
      </c>
      <c r="C70" s="118"/>
      <c r="D70" s="118"/>
      <c r="E70" s="118"/>
      <c r="F70" s="119"/>
      <c r="G70" s="72">
        <f>SUM(G68:G69)*'Fane 15. Nøgletal'!C43</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BY+sMZT+ny8u5cVHBl0K5ViBZwL+Uydo0c8RD/KyDbQRBdwC5XI0R3hSHgFmyrEwsQbjlnjVvewvlGcVagkzzw==" saltValue="8K2PHsj02KqGavIbnTK0Sg=="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4" t="s">
        <v>10</v>
      </c>
      <c r="C8" s="115"/>
      <c r="D8" s="115"/>
      <c r="E8" s="115"/>
      <c r="F8" s="115"/>
      <c r="G8" s="116"/>
      <c r="H8" s="1"/>
    </row>
    <row r="9" spans="1:8" x14ac:dyDescent="0.25">
      <c r="A9" s="1"/>
      <c r="B9" s="117" t="s">
        <v>268</v>
      </c>
      <c r="C9" s="118"/>
      <c r="D9" s="118"/>
      <c r="E9" s="118"/>
      <c r="F9" s="119"/>
      <c r="G9" s="22">
        <v>3.0584817770987396E-3</v>
      </c>
      <c r="H9" s="1"/>
    </row>
    <row r="10" spans="1:8" x14ac:dyDescent="0.25">
      <c r="A10" s="1"/>
      <c r="B10" s="33"/>
      <c r="C10" s="28"/>
      <c r="D10" s="28"/>
      <c r="E10" s="28"/>
      <c r="F10" s="28"/>
      <c r="G10" s="19"/>
      <c r="H10" s="1"/>
    </row>
    <row r="11" spans="1:8" ht="33" customHeight="1" x14ac:dyDescent="0.25">
      <c r="A11" s="1"/>
      <c r="B11" s="131" t="s">
        <v>261</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EWuaq2fXOkFWS/m72ClJNoKVns2z2iTrNosjVR0xJTT5eF7bmkrs27s88xJ4JJNm30QvO3L5DxMsjjCC2KXdxQ==" saltValue="bEjXi/qrcFCdWXjxDCDPh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2023-11-20T12:10:10Z</dcterms:modified>
</cp:coreProperties>
</file>