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Spildevand\FORS Spildevand Lejre AS (S061)\ØR2024\"/>
    </mc:Choice>
  </mc:AlternateContent>
  <xr:revisionPtr revIDLastSave="0" documentId="13_ncr:1_{DF116DD7-B473-47E2-B0D7-80C121C7C205}"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iterateDelta="1E-4"/>
</workbook>
</file>

<file path=xl/calcChain.xml><?xml version="1.0" encoding="utf-8"?>
<calcChain xmlns="http://schemas.openxmlformats.org/spreadsheetml/2006/main">
  <c r="G70" i="36" l="1"/>
  <c r="G65" i="36"/>
  <c r="G60" i="36"/>
  <c r="G55" i="36"/>
  <c r="C29" i="2"/>
  <c r="C27" i="2"/>
  <c r="C28" i="2" l="1"/>
  <c r="E16" i="44" l="1"/>
  <c r="E17" i="44"/>
  <c r="E25" i="44" l="1"/>
  <c r="E18" i="44"/>
  <c r="C9" i="2"/>
  <c r="E29" i="44" l="1"/>
  <c r="E31" i="44" s="1"/>
  <c r="E30" i="20"/>
  <c r="E29" i="20"/>
  <c r="E31" i="20" s="1"/>
  <c r="E24" i="20"/>
  <c r="E23" i="20"/>
  <c r="E25" i="20" s="1"/>
  <c r="C20" i="15" l="1"/>
  <c r="C32" i="2"/>
  <c r="G18" i="4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<sst xmlns="http://schemas.openxmlformats.org/spreadsheetml/2006/main" count="657" uniqueCount="292">
  <si>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</si>
  <si>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</si>
  <si>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</si>
  <si>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</si>
  <si>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</si>
  <si>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</si>
  <si>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</si>
  <si>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</si>
  <si>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</si>
  <si>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</si>
  <si>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</si>
  <si>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</si>
  <si>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</si>
  <si>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</si>
  <si>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</si>
  <si>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</si>
  <si>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</si>
  <si>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</si>
  <si>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</si>
  <si>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</si>
  <si>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</si>
  <si>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</si>
  <si>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</si>
  <si>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</si>
  <si>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</si>
  <si>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</si>
  <si>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</si>
  <si>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</si>
  <si>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</si>
  <si>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</si>
  <si>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</si>
  <si>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</si>
  <si>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</si>
  <si>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</si>
  <si>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</si>
  <si>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</si>
  <si>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</si>
  <si>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</si>
  <si>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</si>
  <si>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</si>
  <si>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</si>
  <si>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</si>
  <si>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</si>
  <si>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</si>
  <si>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</si>
  <si>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</si>
  <si>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</si>
  <si>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</si>
  <si>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</si>
  <si>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</si>
  <si>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</si>
  <si>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</si>
  <si>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</si>
  <si>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</si>
  <si>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</si>
  <si>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</si>
  <si>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</si>
  <si>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</si>
  <si>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</si>
  <si>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</si>
  <si>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</si>
  <si>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</si>
  <si>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</si>
  <si>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</si>
  <si>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</si>
  <si>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</si>
  <si>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</si>
  <si>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</si>
  <si>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</si>
  <si>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</si>
  <si>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</si>
  <si>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</si>
  <si>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</si>
  <si>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</si>
  <si>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</si>
  <si>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</si>
  <si>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</si>
  <si>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</si>
  <si>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</si>
  <si>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</si>
  <si>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</si>
  <si>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</si>
  <si>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</si>
  <si>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</si>
  <si>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</si>
  <si>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</si>
  <si>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</si>
  <si>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</si>
  <si>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</si>
  <si>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</si>
  <si>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</si>
  <si>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</si>
  <si>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</si>
  <si>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</si>
  <si>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</si>
  <si>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</si>
  <si>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</si>
  <si>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</si>
  <si>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</si>
  <si>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</si>
  <si>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</si>
  <si>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</si>
  <si>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</si>
  <si>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</si>
  <si>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</si>
  <si>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</si>
  <si>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</si>
  <si>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</si>
  <si>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</si>
  <si>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</si>
  <si>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</si>
  <si>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</si>
  <si>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</si>
  <si>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</si>
  <si>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</si>
  <si>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</si>
  <si>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</si>
  <si>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</si>
  <si>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</si>
  <si>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</si>
  <si>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</si>
  <si>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</si>
  <si>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</si>
  <si>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</si>
  <si>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</si>
  <si>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</si>
  <si>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</si>
  <si>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</si>
  <si>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</si>
  <si>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</si>
  <si>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</si>
  <si>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</si>
  <si>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</si>
  <si>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</si>
  <si>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</si>
  <si>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</si>
  <si>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</si>
  <si>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</si>
  <si>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</si>
  <si>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</si>
  <si>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</si>
  <si>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</si>
  <si>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</si>
  <si>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</si>
  <si>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</si>
  <si>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</si>
  <si>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</si>
  <si>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</si>
  <si>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</si>
  <si>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</si>
  <si>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</si>
  <si>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</si>
  <si>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</si>
  <si>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</si>
  <si>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</si>
  <si>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</si>
  <si>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</si>
  <si>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</si>
  <si>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</si>
  <si>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</si>
  <si>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</si>
  <si>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</si>
  <si>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</si>
  <si>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</si>
  <si>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</si>
  <si>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</si>
  <si>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</si>
  <si>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</si>
  <si>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</si>
  <si>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</si>
  <si>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</si>
  <si>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</si>
  <si>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</si>
  <si>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</si>
  <si>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</si>
  <si>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</si>
  <si>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</si>
  <si>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</si>
  <si>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</si>
  <si>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</si>
  <si>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</si>
  <si>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</si>
  <si>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</si>
  <si>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</si>
  <si>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</si>
  <si>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</si>
  <si>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</si>
  <si>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</si>
  <si>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</si>
  <si>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</si>
  <si>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</si>
  <si>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</si>
  <si>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</si>
  <si>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</si>
  <si>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</si>
  <si>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</si>
  <si>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</si>
  <si>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</si>
  <si>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</si>
  <si>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</si>
  <si>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</si>
  <si>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</si>
  <si>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</si>
  <si>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</si>
  <si>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</si>
  <si>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</si>
  <si>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</si>
  <si>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</si>
  <si>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</si>
  <si>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</si>
  <si>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</si>
  <si>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</si>
  <si>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</si>
  <si>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</si>
  <si>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</si>
  <si>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</si>
  <si>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</si>
  <si>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</si>
  <si>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</si>
  <si>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</si>
  <si>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</si>
  <si>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</si>
  <si>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</si>
  <si>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</si>
  <si>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</si>
  <si>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</si>
  <si>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</si>
  <si>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</si>
  <si>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</si>
  <si>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</si>
  <si>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</si>
  <si>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</si>
  <si>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</si>
  <si>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</si>
  <si>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</si>
  <si>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</si>
  <si>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</si>
  <si>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</si>
  <si>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</si>
  <si>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</si>
  <si>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</si>
  <si>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</si>
  <si>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</si>
  <si>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</si>
  <si>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</si>
  <si>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</si>
  <si>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</si>
  <si>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</si>
  <si>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</si>
  <si>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</si>
  <si>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</si>
  <si>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</si>
  <si>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</si>
  <si>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</si>
  <si>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</si>
  <si>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</si>
  <si>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</si>
  <si>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</si>
  <si>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</si>
  <si>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</si>
  <si>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</si>
  <si>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</si>
  <si>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</si>
  <si>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</si>
  <si>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</si>
  <si>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</si>
  <si>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</si>
  <si>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</si>
  <si>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</si>
  <si>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</si>
  <si>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</si>
  <si>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</si>
  <si>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</si>
  <si>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</si>
  <si>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</si>
  <si>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</si>
  <si>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</si>
  <si>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</si>
  <si>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</si>
  <si>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</si>
  <si>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</si>
  <si>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</si>
  <si>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</si>
  <si>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</si>
  <si>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FSL- Byggemodninger 2022</t>
  </si>
  <si>
    <t>Oprensning af bassiner</t>
  </si>
  <si>
    <t>Spildevandsafgift</t>
  </si>
  <si>
    <t>Afgift til Forsyningssekretariatet</t>
  </si>
  <si>
    <t>Køb af ydelser og produkter fra andre vandselskaber</t>
  </si>
  <si>
    <t>Ejendomsskatter</t>
  </si>
  <si>
    <t>Erstatninger</t>
  </si>
  <si>
    <t>Øvrige afgifter - Tinglysningsafgift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</si>
</sst>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6" fontId="8" fillId="8" borderId="2" xfId="1" quotePrefix="1" applyNumberFormat="1" applyFont="1" applyFill="1" applyBorder="1" applyAlignment="1" applyProtection="1">
      <alignment horizontal="right" wrapText="1"/>
    </xf>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2" t="s">
        <v>4</v>
      </c>
      <c r="E6" s="92"/>
      <c r="F6" s="92"/>
      <c r="G6" s="92"/>
      <c r="H6" s="3"/>
      <c r="I6" s="1"/>
    </row>
    <row r="7" spans="1:9" ht="15" customHeight="1" x14ac:dyDescent="0.25">
      <c r="A7" s="1"/>
      <c r="B7" s="1"/>
      <c r="C7" s="3"/>
      <c r="D7" s="92"/>
      <c r="E7" s="92"/>
      <c r="F7" s="92"/>
      <c r="G7" s="92"/>
      <c r="H7" s="3"/>
      <c r="I7" s="1"/>
    </row>
    <row r="8" spans="1:9" ht="15.75" x14ac:dyDescent="0.25">
      <c r="A8" s="1"/>
      <c r="B8" s="1"/>
      <c r="C8" s="4"/>
      <c r="D8" s="100" t="s">
        <v>252</v>
      </c>
      <c r="E8" s="100"/>
      <c r="F8" s="100"/>
      <c r="G8" s="100"/>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9" t="s">
        <v>5</v>
      </c>
      <c r="E11" s="99"/>
      <c r="F11" s="99"/>
      <c r="G11" s="99"/>
      <c r="H11" s="5"/>
      <c r="I11" s="1"/>
    </row>
    <row r="12" spans="1:9" x14ac:dyDescent="0.25">
      <c r="A12" s="1"/>
      <c r="B12" s="1"/>
      <c r="C12" s="1"/>
      <c r="D12" s="1"/>
      <c r="E12" s="1"/>
      <c r="F12" s="1"/>
      <c r="G12" s="1"/>
      <c r="H12" s="5"/>
      <c r="I12" s="1"/>
    </row>
    <row r="13" spans="1:9" x14ac:dyDescent="0.25">
      <c r="A13" s="1"/>
      <c r="B13" s="1"/>
      <c r="C13" s="6" t="s">
        <v>6</v>
      </c>
      <c r="D13" s="104" t="s">
        <v>196</v>
      </c>
      <c r="E13" s="105"/>
      <c r="F13" s="105"/>
      <c r="G13" s="106"/>
      <c r="H13" s="5"/>
      <c r="I13" s="1"/>
    </row>
    <row r="14" spans="1:9" x14ac:dyDescent="0.25">
      <c r="A14" s="1"/>
      <c r="B14" s="1"/>
      <c r="C14" s="6" t="s">
        <v>16</v>
      </c>
      <c r="D14" s="89" t="s">
        <v>197</v>
      </c>
      <c r="E14" s="90"/>
      <c r="F14" s="90"/>
      <c r="G14" s="91"/>
      <c r="H14" s="5"/>
      <c r="I14" s="1"/>
    </row>
    <row r="15" spans="1:9" x14ac:dyDescent="0.25">
      <c r="A15" s="1"/>
      <c r="B15" s="1"/>
      <c r="C15" s="6" t="s">
        <v>31</v>
      </c>
      <c r="D15" s="89" t="s">
        <v>262</v>
      </c>
      <c r="E15" s="90"/>
      <c r="F15" s="90"/>
      <c r="G15" s="91"/>
      <c r="H15" s="5"/>
      <c r="I15" s="1"/>
    </row>
    <row r="16" spans="1:9" x14ac:dyDescent="0.25">
      <c r="A16" s="1"/>
      <c r="B16" s="1"/>
      <c r="C16" s="6" t="s">
        <v>32</v>
      </c>
      <c r="D16" s="89" t="s">
        <v>263</v>
      </c>
      <c r="E16" s="90"/>
      <c r="F16" s="90"/>
      <c r="G16" s="91"/>
      <c r="H16" s="5"/>
      <c r="I16" s="1"/>
    </row>
    <row r="17" spans="1:9" x14ac:dyDescent="0.25">
      <c r="A17" s="1"/>
      <c r="B17" s="1"/>
      <c r="C17" s="6" t="s">
        <v>101</v>
      </c>
      <c r="D17" s="89" t="s">
        <v>198</v>
      </c>
      <c r="E17" s="90"/>
      <c r="F17" s="90"/>
      <c r="G17" s="91"/>
      <c r="H17" s="5"/>
      <c r="I17" s="1"/>
    </row>
    <row r="18" spans="1:9" x14ac:dyDescent="0.25">
      <c r="A18" s="1"/>
      <c r="B18" s="1"/>
      <c r="C18" s="6" t="s">
        <v>88</v>
      </c>
      <c r="D18" s="101" t="s">
        <v>79</v>
      </c>
      <c r="E18" s="102"/>
      <c r="F18" s="102"/>
      <c r="G18" s="103"/>
      <c r="H18" s="5"/>
      <c r="I18" s="1"/>
    </row>
    <row r="19" spans="1:9" x14ac:dyDescent="0.25">
      <c r="A19" s="1"/>
      <c r="B19" s="1"/>
      <c r="C19" s="6" t="s">
        <v>89</v>
      </c>
      <c r="D19" s="101" t="s">
        <v>80</v>
      </c>
      <c r="E19" s="102"/>
      <c r="F19" s="102"/>
      <c r="G19" s="103"/>
      <c r="H19" s="5"/>
      <c r="I19" s="1"/>
    </row>
    <row r="20" spans="1:9" x14ac:dyDescent="0.25">
      <c r="A20" s="1"/>
      <c r="B20" s="1"/>
      <c r="C20" s="6" t="s">
        <v>7</v>
      </c>
      <c r="D20" s="101" t="s">
        <v>10</v>
      </c>
      <c r="E20" s="102"/>
      <c r="F20" s="102"/>
      <c r="G20" s="103"/>
      <c r="H20" s="5"/>
      <c r="I20" s="1"/>
    </row>
    <row r="21" spans="1:9" x14ac:dyDescent="0.25">
      <c r="A21" s="1"/>
      <c r="B21" s="1"/>
      <c r="C21" s="6" t="s">
        <v>90</v>
      </c>
      <c r="D21" s="93" t="s">
        <v>12</v>
      </c>
      <c r="E21" s="94"/>
      <c r="F21" s="94"/>
      <c r="G21" s="95"/>
      <c r="H21" s="5"/>
      <c r="I21" s="1"/>
    </row>
    <row r="22" spans="1:9" x14ac:dyDescent="0.25">
      <c r="A22" s="1"/>
      <c r="B22" s="1"/>
      <c r="C22" s="6" t="s">
        <v>71</v>
      </c>
      <c r="D22" s="96" t="s">
        <v>199</v>
      </c>
      <c r="E22" s="97"/>
      <c r="F22" s="97"/>
      <c r="G22" s="98"/>
      <c r="H22" s="5"/>
      <c r="I22" s="1"/>
    </row>
    <row r="23" spans="1:9" x14ac:dyDescent="0.25">
      <c r="A23" s="1"/>
      <c r="B23" s="1"/>
      <c r="C23" s="6" t="s">
        <v>8</v>
      </c>
      <c r="D23" s="96" t="s">
        <v>181</v>
      </c>
      <c r="E23" s="97"/>
      <c r="F23" s="97"/>
      <c r="G23" s="98"/>
      <c r="H23" s="5"/>
      <c r="I23" s="1"/>
    </row>
    <row r="24" spans="1:9" x14ac:dyDescent="0.25">
      <c r="A24" s="1"/>
      <c r="B24" s="1"/>
      <c r="C24" s="6" t="s">
        <v>9</v>
      </c>
      <c r="D24" s="96" t="s">
        <v>200</v>
      </c>
      <c r="E24" s="97"/>
      <c r="F24" s="97"/>
      <c r="G24" s="98"/>
      <c r="H24" s="5"/>
      <c r="I24" s="1"/>
    </row>
    <row r="25" spans="1:9" x14ac:dyDescent="0.25">
      <c r="A25" s="1"/>
      <c r="B25" s="1"/>
      <c r="C25" s="6" t="s">
        <v>166</v>
      </c>
      <c r="D25" s="96" t="s">
        <v>160</v>
      </c>
      <c r="E25" s="97"/>
      <c r="F25" s="97"/>
      <c r="G25" s="98"/>
      <c r="H25" s="1"/>
      <c r="I25" s="1"/>
    </row>
    <row r="26" spans="1:9" x14ac:dyDescent="0.25">
      <c r="A26" s="1"/>
      <c r="B26" s="1"/>
      <c r="C26" s="6" t="s">
        <v>167</v>
      </c>
      <c r="D26" s="96" t="s">
        <v>72</v>
      </c>
      <c r="E26" s="97"/>
      <c r="F26" s="97"/>
      <c r="G26" s="98"/>
      <c r="H26" s="1"/>
      <c r="I26" s="1"/>
    </row>
    <row r="27" spans="1:9" x14ac:dyDescent="0.25">
      <c r="A27" s="1"/>
      <c r="B27" s="1"/>
      <c r="C27" s="6" t="s">
        <v>168</v>
      </c>
      <c r="D27" s="96" t="s">
        <v>73</v>
      </c>
      <c r="E27" s="97"/>
      <c r="F27" s="97"/>
      <c r="G27" s="98"/>
      <c r="H27" s="1"/>
      <c r="I27" s="1"/>
    </row>
    <row r="28" spans="1:9" x14ac:dyDescent="0.25">
      <c r="A28" s="1"/>
      <c r="B28" s="1"/>
      <c r="C28" s="6" t="s">
        <v>15</v>
      </c>
      <c r="D28" s="96" t="s">
        <v>74</v>
      </c>
      <c r="E28" s="97"/>
      <c r="F28" s="97"/>
      <c r="G28" s="98"/>
      <c r="H28" s="1"/>
      <c r="I28" s="1"/>
    </row>
    <row r="29" spans="1:9" x14ac:dyDescent="0.25">
      <c r="A29" s="1"/>
      <c r="B29" s="1"/>
      <c r="C29" s="6" t="s">
        <v>34</v>
      </c>
      <c r="D29" s="96" t="s">
        <v>114</v>
      </c>
      <c r="E29" s="97"/>
      <c r="F29" s="97"/>
      <c r="G29" s="98"/>
      <c r="H29" s="1"/>
      <c r="I29" s="1"/>
    </row>
    <row r="30" spans="1:9" x14ac:dyDescent="0.25">
      <c r="A30" s="1"/>
      <c r="B30" s="1"/>
      <c r="C30" s="6" t="s">
        <v>35</v>
      </c>
      <c r="D30" s="96" t="s">
        <v>33</v>
      </c>
      <c r="E30" s="97"/>
      <c r="F30" s="97"/>
      <c r="G30" s="98"/>
      <c r="H30" s="1"/>
      <c r="I30" s="1"/>
    </row>
    <row r="31" spans="1:9" x14ac:dyDescent="0.25">
      <c r="A31" s="1"/>
      <c r="B31" s="1"/>
      <c r="C31" s="6" t="s">
        <v>169</v>
      </c>
      <c r="D31" s="107" t="s">
        <v>87</v>
      </c>
      <c r="E31" s="108"/>
      <c r="F31" s="108"/>
      <c r="G31" s="109"/>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UBc39bIwbq+eBOmUFMJdhZz5/1DYzRUDMdO7Pt2cgk364kwKQQ8ep9XPbUEjftv/IWPjx50UyengzSdp13vNiA==" saltValue="HqnQAq/Zpl7H6P4I+eVMr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7"/>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93</v>
      </c>
      <c r="C3" s="110"/>
      <c r="D3" s="110"/>
      <c r="E3" s="1"/>
      <c r="F3" s="1"/>
    </row>
    <row r="4" spans="1:6" ht="15" customHeight="1" x14ac:dyDescent="0.25">
      <c r="A4" s="1"/>
      <c r="B4" s="110"/>
      <c r="C4" s="110"/>
      <c r="D4" s="11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224</v>
      </c>
      <c r="C8" s="118"/>
      <c r="D8" s="119"/>
      <c r="E8" s="1"/>
      <c r="F8" s="1"/>
    </row>
    <row r="9" spans="1:6" ht="15" customHeight="1" x14ac:dyDescent="0.25">
      <c r="A9" s="1"/>
      <c r="B9" s="27" t="s">
        <v>29</v>
      </c>
      <c r="C9" s="50" t="s">
        <v>225</v>
      </c>
      <c r="D9" s="11"/>
      <c r="E9" s="1"/>
      <c r="F9" s="1"/>
    </row>
    <row r="10" spans="1:6" ht="15" customHeight="1" x14ac:dyDescent="0.25">
      <c r="A10" s="1"/>
      <c r="B10" s="81" t="s">
        <v>286</v>
      </c>
      <c r="C10" s="9">
        <v>330339</v>
      </c>
      <c r="D10" s="14" t="s">
        <v>3</v>
      </c>
      <c r="E10" s="1"/>
      <c r="F10" s="1"/>
    </row>
    <row r="11" spans="1:6" ht="15" customHeight="1" x14ac:dyDescent="0.25">
      <c r="A11" s="1"/>
      <c r="B11" s="81" t="s">
        <v>287</v>
      </c>
      <c r="C11" s="9">
        <v>74655</v>
      </c>
      <c r="D11" s="14" t="s">
        <v>3</v>
      </c>
      <c r="E11" s="1"/>
      <c r="F11" s="1"/>
    </row>
    <row r="12" spans="1:6" x14ac:dyDescent="0.25">
      <c r="A12" s="1"/>
      <c r="B12" s="81" t="s">
        <v>288</v>
      </c>
      <c r="C12" s="9">
        <v>18979</v>
      </c>
      <c r="D12" s="14" t="s">
        <v>3</v>
      </c>
      <c r="E12" s="1"/>
      <c r="F12" s="1"/>
    </row>
    <row r="13" spans="1:6" x14ac:dyDescent="0.25">
      <c r="A13" s="1"/>
      <c r="B13" s="81" t="s">
        <v>289</v>
      </c>
      <c r="C13" s="9">
        <v>168359</v>
      </c>
      <c r="D13" s="14" t="s">
        <v>3</v>
      </c>
      <c r="E13" s="1"/>
      <c r="F13" s="1"/>
    </row>
    <row r="14" spans="1:6" x14ac:dyDescent="0.25">
      <c r="A14" s="1"/>
      <c r="B14" s="81" t="s">
        <v>290</v>
      </c>
      <c r="C14" s="9">
        <v>189904</v>
      </c>
      <c r="D14" s="14" t="s">
        <v>3</v>
      </c>
      <c r="E14" s="1"/>
      <c r="F14" s="1"/>
    </row>
    <row r="15" spans="1:6" x14ac:dyDescent="0.25">
      <c r="A15" s="1"/>
      <c r="B15" s="81" t="s">
        <v>291</v>
      </c>
      <c r="C15" s="9">
        <v>1750</v>
      </c>
      <c r="D15" s="14" t="s">
        <v>3</v>
      </c>
      <c r="E15" s="1"/>
      <c r="F15" s="1"/>
    </row>
    <row r="16" spans="1:6" x14ac:dyDescent="0.25">
      <c r="A16" s="1"/>
      <c r="B16" s="81"/>
      <c r="C16" s="9"/>
      <c r="D16" s="14" t="s">
        <v>3</v>
      </c>
      <c r="E16" s="1"/>
      <c r="F16" s="1"/>
    </row>
    <row r="17" spans="1:6" x14ac:dyDescent="0.25">
      <c r="A17" s="1"/>
      <c r="B17" s="81"/>
      <c r="C17" s="9"/>
      <c r="D17" s="14" t="s">
        <v>3</v>
      </c>
      <c r="E17" s="1"/>
      <c r="F17" s="1"/>
    </row>
    <row r="18" spans="1:6" x14ac:dyDescent="0.25">
      <c r="A18" s="1"/>
      <c r="B18" s="81"/>
      <c r="C18" s="9"/>
      <c r="D18" s="14" t="s">
        <v>3</v>
      </c>
      <c r="E18" s="1"/>
      <c r="F18" s="1"/>
    </row>
    <row r="19" spans="1:6" x14ac:dyDescent="0.25">
      <c r="A19" s="1"/>
      <c r="B19" s="81"/>
      <c r="C19" s="9"/>
      <c r="D19" s="14" t="s">
        <v>3</v>
      </c>
      <c r="E19" s="1"/>
      <c r="F19" s="1"/>
    </row>
    <row r="20" spans="1:6" x14ac:dyDescent="0.25">
      <c r="A20" s="1"/>
      <c r="B20" s="33" t="s">
        <v>226</v>
      </c>
      <c r="C20" s="12">
        <f>SUM(C10:C19)</f>
        <v>783986</v>
      </c>
      <c r="D20" s="13" t="s">
        <v>3</v>
      </c>
      <c r="E20" s="1"/>
      <c r="F20" s="1"/>
    </row>
    <row r="21" spans="1:6" x14ac:dyDescent="0.25">
      <c r="A21" s="1"/>
      <c r="B21" s="33" t="s">
        <v>227</v>
      </c>
      <c r="C21" s="12">
        <f>C20*(1+'Fane 15. Nøgletal'!C16)^2</f>
        <v>915796.49995903997</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7" t="s">
        <v>99</v>
      </c>
      <c r="C24" s="118"/>
      <c r="D24" s="119"/>
      <c r="E24" s="1"/>
      <c r="F24" s="1"/>
    </row>
    <row r="25" spans="1:6" x14ac:dyDescent="0.25">
      <c r="A25" s="1"/>
      <c r="B25" s="81" t="s">
        <v>109</v>
      </c>
      <c r="C25" s="9">
        <v>0</v>
      </c>
      <c r="D25" s="14" t="s">
        <v>3</v>
      </c>
      <c r="E25" s="1"/>
      <c r="F25" s="1"/>
    </row>
    <row r="26" spans="1:6" x14ac:dyDescent="0.25">
      <c r="A26" s="1"/>
      <c r="B26" s="81" t="s">
        <v>123</v>
      </c>
      <c r="C26" s="9">
        <v>0</v>
      </c>
      <c r="D26" s="14" t="s">
        <v>3</v>
      </c>
      <c r="E26" s="1"/>
      <c r="F26" s="1"/>
    </row>
    <row r="27" spans="1:6" x14ac:dyDescent="0.25">
      <c r="A27" s="1"/>
      <c r="B27" s="81" t="s">
        <v>142</v>
      </c>
      <c r="C27" s="9">
        <v>0</v>
      </c>
      <c r="D27" s="14" t="s">
        <v>3</v>
      </c>
      <c r="E27" s="1"/>
      <c r="F27" s="1"/>
    </row>
    <row r="28" spans="1:6" x14ac:dyDescent="0.25">
      <c r="A28" s="1"/>
      <c r="B28" s="34" t="s">
        <v>261</v>
      </c>
      <c r="C28" s="9">
        <v>0</v>
      </c>
      <c r="D28" s="38" t="s">
        <v>3</v>
      </c>
      <c r="E28" s="1"/>
      <c r="F28" s="1"/>
    </row>
    <row r="29" spans="1:6" x14ac:dyDescent="0.25">
      <c r="A29" s="1"/>
      <c r="B29" s="117"/>
      <c r="C29" s="118"/>
      <c r="D29" s="119"/>
      <c r="E29" s="1"/>
      <c r="F29" s="1"/>
    </row>
    <row r="30" spans="1:6" x14ac:dyDescent="0.25">
      <c r="A30" s="1"/>
      <c r="B30" s="1"/>
      <c r="C30" s="1"/>
      <c r="D30" s="1"/>
      <c r="E30" s="1"/>
      <c r="F30" s="1"/>
    </row>
    <row r="31" spans="1:6" x14ac:dyDescent="0.25">
      <c r="A31" s="1"/>
      <c r="B31" s="1"/>
      <c r="C31" s="1"/>
      <c r="D31" s="1"/>
      <c r="E31" s="1"/>
      <c r="F31" s="1"/>
    </row>
    <row r="32" spans="1:6" x14ac:dyDescent="0.25">
      <c r="A32" s="1"/>
      <c r="B32" s="117" t="s">
        <v>81</v>
      </c>
      <c r="C32" s="118"/>
      <c r="D32" s="119"/>
      <c r="E32" s="1"/>
      <c r="F32" s="1"/>
    </row>
    <row r="33" spans="1:6" x14ac:dyDescent="0.25">
      <c r="A33" s="1"/>
      <c r="B33" s="81" t="s">
        <v>109</v>
      </c>
      <c r="C33" s="9">
        <v>1853289</v>
      </c>
      <c r="D33" s="14" t="s">
        <v>3</v>
      </c>
      <c r="E33" s="1"/>
      <c r="F33" s="1"/>
    </row>
    <row r="34" spans="1:6" x14ac:dyDescent="0.25">
      <c r="A34" s="1"/>
      <c r="B34" s="81" t="s">
        <v>123</v>
      </c>
      <c r="C34" s="9">
        <v>0</v>
      </c>
      <c r="D34" s="14" t="s">
        <v>3</v>
      </c>
      <c r="E34" s="1"/>
      <c r="F34" s="1"/>
    </row>
    <row r="35" spans="1:6" x14ac:dyDescent="0.25">
      <c r="A35" s="1"/>
      <c r="B35" s="81" t="s">
        <v>142</v>
      </c>
      <c r="C35" s="9">
        <v>0</v>
      </c>
      <c r="D35" s="14" t="s">
        <v>3</v>
      </c>
      <c r="E35" s="1"/>
      <c r="F35" s="1"/>
    </row>
    <row r="36" spans="1:6" x14ac:dyDescent="0.25">
      <c r="A36" s="1"/>
      <c r="B36" s="34" t="s">
        <v>261</v>
      </c>
      <c r="C36" s="9">
        <v>0</v>
      </c>
      <c r="D36" s="38" t="s">
        <v>3</v>
      </c>
      <c r="E36" s="1"/>
      <c r="F36" s="1"/>
    </row>
    <row r="37" spans="1:6" x14ac:dyDescent="0.25">
      <c r="A37" s="1"/>
      <c r="B37" s="117"/>
      <c r="C37" s="118"/>
      <c r="D37" s="119"/>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row r="57" spans="1:6" x14ac:dyDescent="0.25">
      <c r="A57" s="48"/>
      <c r="B57" s="48"/>
      <c r="C57" s="48"/>
      <c r="D57" s="48"/>
      <c r="E57" s="48"/>
      <c r="F57" s="48"/>
    </row>
  </sheetData>
  <sheetProtection algorithmName="SHA-512" hashValue="eLnjTuRS94bQSQuNNj//hv4RNI6rTy72R6mLEAjW15W+rUI2+fWS45NSB1iTlHmTrYd9Y93dMld3U9WTjkkAjg==" saltValue="c7jqRHLZj5MGcoD5okRSU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2CC9D-0548-4123-8E00-519040D38996}">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206</v>
      </c>
      <c r="C3" s="113"/>
      <c r="D3" s="113"/>
      <c r="E3" s="113"/>
      <c r="F3" s="113"/>
      <c r="G3" s="1"/>
    </row>
    <row r="4" spans="1:7" ht="15" customHeight="1" x14ac:dyDescent="0.25">
      <c r="A4" s="1"/>
      <c r="B4" s="113"/>
      <c r="C4" s="113"/>
      <c r="D4" s="113"/>
      <c r="E4" s="113"/>
      <c r="F4" s="113"/>
      <c r="G4" s="1"/>
    </row>
    <row r="5" spans="1:7" ht="15" customHeight="1" x14ac:dyDescent="0.25">
      <c r="A5" s="1"/>
      <c r="B5" s="74"/>
      <c r="C5" s="74"/>
      <c r="D5" s="74"/>
      <c r="E5" s="74"/>
      <c r="F5" s="74"/>
      <c r="G5" s="1"/>
    </row>
    <row r="6" spans="1:7" ht="15" customHeight="1" x14ac:dyDescent="0.25">
      <c r="A6" s="1"/>
      <c r="B6" s="74"/>
      <c r="C6" s="74"/>
      <c r="D6" s="74"/>
      <c r="E6" s="74"/>
      <c r="F6" s="74"/>
      <c r="G6" s="1"/>
    </row>
    <row r="7" spans="1:7" ht="15" customHeight="1" x14ac:dyDescent="0.25">
      <c r="A7" s="1"/>
      <c r="B7" s="1"/>
      <c r="C7" s="1"/>
      <c r="D7" s="1"/>
      <c r="E7" s="1"/>
      <c r="F7" s="1"/>
      <c r="G7" s="1"/>
    </row>
    <row r="8" spans="1:7" ht="15" customHeight="1" x14ac:dyDescent="0.25">
      <c r="A8" s="1"/>
      <c r="B8" s="117" t="s">
        <v>137</v>
      </c>
      <c r="C8" s="118"/>
      <c r="D8" s="118"/>
      <c r="E8" s="118"/>
      <c r="F8" s="119"/>
      <c r="G8" s="1"/>
    </row>
    <row r="9" spans="1:7" ht="15" customHeight="1" x14ac:dyDescent="0.25">
      <c r="A9" s="1"/>
      <c r="B9" s="120" t="s">
        <v>272</v>
      </c>
      <c r="C9" s="121"/>
      <c r="D9" s="122"/>
      <c r="E9" s="9">
        <v>9345478</v>
      </c>
      <c r="F9" s="14" t="s">
        <v>3</v>
      </c>
      <c r="G9" s="1"/>
    </row>
    <row r="10" spans="1:7" ht="15" customHeight="1" x14ac:dyDescent="0.25">
      <c r="A10" s="1"/>
      <c r="B10" s="120" t="s">
        <v>143</v>
      </c>
      <c r="C10" s="121"/>
      <c r="D10" s="122"/>
      <c r="E10" s="9">
        <v>3472376</v>
      </c>
      <c r="F10" s="14" t="s">
        <v>3</v>
      </c>
      <c r="G10" s="1"/>
    </row>
    <row r="11" spans="1:7" ht="15" customHeight="1" x14ac:dyDescent="0.25">
      <c r="A11" s="1"/>
      <c r="B11" s="120" t="s">
        <v>273</v>
      </c>
      <c r="C11" s="121"/>
      <c r="D11" s="122"/>
      <c r="E11" s="9">
        <v>-1617114</v>
      </c>
      <c r="F11" s="14" t="s">
        <v>3</v>
      </c>
      <c r="G11" s="1"/>
    </row>
    <row r="12" spans="1:7" x14ac:dyDescent="0.25">
      <c r="A12" s="1"/>
      <c r="B12" s="33"/>
      <c r="C12" s="28"/>
      <c r="D12" s="28"/>
      <c r="E12" s="28"/>
      <c r="F12" s="19"/>
      <c r="G12" s="1"/>
    </row>
    <row r="13" spans="1:7" ht="42" customHeight="1" x14ac:dyDescent="0.25">
      <c r="A13" s="1"/>
      <c r="B13" s="114" t="s">
        <v>274</v>
      </c>
      <c r="C13" s="115"/>
      <c r="D13" s="115"/>
      <c r="E13" s="115"/>
      <c r="F13" s="116"/>
      <c r="G13" s="1"/>
    </row>
    <row r="14" spans="1:7" ht="15" customHeight="1" x14ac:dyDescent="0.25">
      <c r="A14" s="1"/>
      <c r="B14" s="1"/>
      <c r="C14" s="1"/>
      <c r="D14" s="1"/>
      <c r="E14" s="1"/>
      <c r="F14" s="1"/>
      <c r="G14" s="1"/>
    </row>
    <row r="15" spans="1:7" x14ac:dyDescent="0.25">
      <c r="A15" s="1"/>
      <c r="B15" s="75" t="s">
        <v>275</v>
      </c>
      <c r="C15" s="76"/>
      <c r="D15" s="76"/>
      <c r="E15" s="76"/>
      <c r="F15" s="77"/>
      <c r="G15" s="1"/>
    </row>
    <row r="16" spans="1:7" x14ac:dyDescent="0.25">
      <c r="A16" s="1"/>
      <c r="B16" s="78" t="s">
        <v>276</v>
      </c>
      <c r="C16" s="79"/>
      <c r="D16" s="80"/>
      <c r="E16" s="9">
        <f>IF(E11&lt;0,E11,0)</f>
        <v>-1617114</v>
      </c>
      <c r="F16" s="14" t="s">
        <v>3</v>
      </c>
      <c r="G16" s="1"/>
    </row>
    <row r="17" spans="1:7" x14ac:dyDescent="0.25">
      <c r="A17" s="1"/>
      <c r="B17" s="78" t="s">
        <v>277</v>
      </c>
      <c r="C17" s="79"/>
      <c r="D17" s="80"/>
      <c r="E17" s="9">
        <f>IF(SUM(E10)&gt;0,SUM(E10),0)</f>
        <v>3472376</v>
      </c>
      <c r="F17" s="14" t="s">
        <v>3</v>
      </c>
      <c r="G17" s="1"/>
    </row>
    <row r="18" spans="1:7" x14ac:dyDescent="0.25">
      <c r="A18" s="1"/>
      <c r="B18" s="82" t="s">
        <v>278</v>
      </c>
      <c r="C18" s="83"/>
      <c r="D18" s="84"/>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5" t="s">
        <v>279</v>
      </c>
      <c r="C21" s="76"/>
      <c r="D21" s="76"/>
      <c r="E21" s="76"/>
      <c r="F21" s="77"/>
      <c r="G21" s="1"/>
    </row>
    <row r="22" spans="1:7" x14ac:dyDescent="0.25">
      <c r="A22" s="1"/>
      <c r="B22" s="78" t="s">
        <v>280</v>
      </c>
      <c r="C22" s="79"/>
      <c r="D22" s="80"/>
      <c r="E22" s="9">
        <v>50261310</v>
      </c>
      <c r="F22" s="14" t="s">
        <v>3</v>
      </c>
      <c r="G22" s="1"/>
    </row>
    <row r="23" spans="1:7" x14ac:dyDescent="0.25">
      <c r="A23" s="1"/>
      <c r="B23" s="78" t="s">
        <v>281</v>
      </c>
      <c r="C23" s="79"/>
      <c r="D23" s="80"/>
      <c r="E23" s="9">
        <v>51716497</v>
      </c>
      <c r="F23" s="14" t="s">
        <v>3</v>
      </c>
      <c r="G23" s="1"/>
    </row>
    <row r="24" spans="1:7" x14ac:dyDescent="0.25">
      <c r="A24" s="1"/>
      <c r="B24" s="78" t="s">
        <v>30</v>
      </c>
      <c r="C24" s="79"/>
      <c r="D24" s="80"/>
      <c r="E24" s="9">
        <v>0</v>
      </c>
      <c r="F24" s="14" t="s">
        <v>3</v>
      </c>
      <c r="G24" s="1"/>
    </row>
    <row r="25" spans="1:7" x14ac:dyDescent="0.25">
      <c r="A25" s="1"/>
      <c r="B25" s="82" t="s">
        <v>282</v>
      </c>
      <c r="C25" s="83"/>
      <c r="D25" s="84"/>
      <c r="E25" s="62">
        <f>E22-E23-E24</f>
        <v>-1455187</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7" t="s">
        <v>283</v>
      </c>
      <c r="C28" s="118"/>
      <c r="D28" s="118"/>
      <c r="E28" s="118"/>
      <c r="F28" s="119"/>
      <c r="G28" s="1"/>
    </row>
    <row r="29" spans="1:7" x14ac:dyDescent="0.25">
      <c r="A29" s="1"/>
      <c r="B29" s="132" t="s">
        <v>116</v>
      </c>
      <c r="C29" s="133"/>
      <c r="D29" s="134"/>
      <c r="E29" s="9">
        <f>IF(E18&lt;0,IF(E25&lt;0,SUM(E18,E25),IF(E10&gt;0,SUM(E10:E11),E18)),IF(AND(E25&lt;0,SUM(E25,E11)&lt;0),IF(E11&lt;0,E25,IF(SUM(E10:E11)&gt;0,SUM(E25,E11),IF(AND(E25&lt;0,E18=0,E11&gt;0),IF(SUM(E9:E11)&gt;0,E25+E11,E25)))),0))</f>
        <v>-1455187</v>
      </c>
      <c r="F29" s="14" t="s">
        <v>3</v>
      </c>
      <c r="G29" s="1"/>
    </row>
    <row r="30" spans="1:7" x14ac:dyDescent="0.25">
      <c r="A30" s="1"/>
      <c r="B30" s="132" t="s">
        <v>84</v>
      </c>
      <c r="C30" s="133"/>
      <c r="D30" s="134"/>
      <c r="E30" s="9">
        <v>2</v>
      </c>
      <c r="F30" s="14" t="s">
        <v>20</v>
      </c>
      <c r="G30" s="1"/>
    </row>
    <row r="31" spans="1:7" x14ac:dyDescent="0.25">
      <c r="A31" s="1"/>
      <c r="B31" s="135" t="s">
        <v>117</v>
      </c>
      <c r="C31" s="136"/>
      <c r="D31" s="137"/>
      <c r="E31" s="10">
        <f>E29/E30</f>
        <v>-727593.5</v>
      </c>
      <c r="F31" s="17" t="s">
        <v>3</v>
      </c>
      <c r="G31" s="1"/>
    </row>
    <row r="32" spans="1:7" x14ac:dyDescent="0.25">
      <c r="A32" s="1"/>
      <c r="B32" s="138"/>
      <c r="C32" s="139"/>
      <c r="D32" s="139"/>
      <c r="E32" s="139"/>
      <c r="F32" s="140"/>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peFmP8+pGzNmvleE8q18L2B9DLyIvigdMePB53Ldk6bcrBpPe2sE0AZL1rXgbyxXxhWTBJWcnP9KiuRQbIJs1w==" saltValue="nKQy6j+AnF6AzziaVNfbXw=="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0" t="s">
        <v>170</v>
      </c>
      <c r="C3" s="110"/>
      <c r="D3" s="110"/>
      <c r="E3" s="110"/>
      <c r="F3" s="110"/>
      <c r="G3" s="110"/>
      <c r="H3" s="110"/>
      <c r="I3" s="1"/>
    </row>
    <row r="4" spans="1:9" ht="15" customHeight="1" x14ac:dyDescent="0.25">
      <c r="A4" s="1"/>
      <c r="B4" s="110"/>
      <c r="C4" s="110"/>
      <c r="D4" s="110"/>
      <c r="E4" s="110"/>
      <c r="F4" s="110"/>
      <c r="G4" s="110"/>
      <c r="H4" s="11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189</v>
      </c>
      <c r="C8" s="118"/>
      <c r="D8" s="118"/>
      <c r="E8" s="118"/>
      <c r="F8" s="118"/>
      <c r="G8" s="118"/>
      <c r="H8" s="119"/>
      <c r="I8" s="1"/>
    </row>
    <row r="9" spans="1:9" ht="15" customHeight="1" x14ac:dyDescent="0.25">
      <c r="A9" s="1"/>
      <c r="B9" s="144" t="s">
        <v>171</v>
      </c>
      <c r="C9" s="145"/>
      <c r="D9" s="145"/>
      <c r="E9" s="145"/>
      <c r="F9" s="145"/>
      <c r="G9" s="145"/>
      <c r="H9" s="146"/>
      <c r="I9" s="1"/>
    </row>
    <row r="10" spans="1:9" x14ac:dyDescent="0.25">
      <c r="A10" s="1"/>
      <c r="B10" s="141" t="s">
        <v>172</v>
      </c>
      <c r="C10" s="142"/>
      <c r="D10" s="142"/>
      <c r="E10" s="142"/>
      <c r="F10" s="143"/>
      <c r="G10" s="9">
        <v>0</v>
      </c>
      <c r="H10" s="9" t="s">
        <v>3</v>
      </c>
      <c r="I10" s="1"/>
    </row>
    <row r="11" spans="1:9" x14ac:dyDescent="0.25">
      <c r="A11" s="1"/>
      <c r="B11" s="141" t="s">
        <v>173</v>
      </c>
      <c r="C11" s="142"/>
      <c r="D11" s="142"/>
      <c r="E11" s="142"/>
      <c r="F11" s="143"/>
      <c r="G11" s="9">
        <v>0</v>
      </c>
      <c r="H11" s="9" t="s">
        <v>3</v>
      </c>
      <c r="I11" s="1"/>
    </row>
    <row r="12" spans="1:9" x14ac:dyDescent="0.25">
      <c r="A12" s="1"/>
      <c r="B12" s="141" t="s">
        <v>174</v>
      </c>
      <c r="C12" s="142"/>
      <c r="D12" s="142"/>
      <c r="E12" s="142"/>
      <c r="F12" s="143"/>
      <c r="G12" s="9">
        <v>0</v>
      </c>
      <c r="H12" s="9" t="s">
        <v>3</v>
      </c>
      <c r="I12" s="1"/>
    </row>
    <row r="13" spans="1:9" x14ac:dyDescent="0.25">
      <c r="A13" s="1"/>
      <c r="B13" s="141" t="s">
        <v>175</v>
      </c>
      <c r="C13" s="142"/>
      <c r="D13" s="142"/>
      <c r="E13" s="142"/>
      <c r="F13" s="143"/>
      <c r="G13" s="9">
        <v>0</v>
      </c>
      <c r="H13" s="9" t="s">
        <v>3</v>
      </c>
      <c r="I13" s="1"/>
    </row>
    <row r="14" spans="1:9" x14ac:dyDescent="0.25">
      <c r="A14" s="1"/>
      <c r="B14" s="141" t="s">
        <v>176</v>
      </c>
      <c r="C14" s="142"/>
      <c r="D14" s="142"/>
      <c r="E14" s="142"/>
      <c r="F14" s="143"/>
      <c r="G14" s="9">
        <v>0</v>
      </c>
      <c r="H14" s="9" t="s">
        <v>3</v>
      </c>
      <c r="I14" s="1"/>
    </row>
    <row r="15" spans="1:9" x14ac:dyDescent="0.25">
      <c r="A15" s="1"/>
      <c r="B15" s="141" t="s">
        <v>177</v>
      </c>
      <c r="C15" s="142"/>
      <c r="D15" s="142"/>
      <c r="E15" s="142"/>
      <c r="F15" s="143"/>
      <c r="G15" s="9">
        <v>0</v>
      </c>
      <c r="H15" s="9" t="s">
        <v>3</v>
      </c>
      <c r="I15" s="1"/>
    </row>
    <row r="16" spans="1:9" x14ac:dyDescent="0.25">
      <c r="A16" s="1"/>
      <c r="B16" s="141" t="s">
        <v>178</v>
      </c>
      <c r="C16" s="142"/>
      <c r="D16" s="142"/>
      <c r="E16" s="142"/>
      <c r="F16" s="143"/>
      <c r="G16" s="9">
        <v>0</v>
      </c>
      <c r="H16" s="9" t="s">
        <v>3</v>
      </c>
      <c r="I16" s="1"/>
    </row>
    <row r="17" spans="1:9" x14ac:dyDescent="0.25">
      <c r="A17" s="1"/>
      <c r="B17" s="141" t="s">
        <v>179</v>
      </c>
      <c r="C17" s="142"/>
      <c r="D17" s="142"/>
      <c r="E17" s="142"/>
      <c r="F17" s="143"/>
      <c r="G17" s="9">
        <v>0</v>
      </c>
      <c r="H17" s="9" t="s">
        <v>3</v>
      </c>
      <c r="I17" s="1"/>
    </row>
    <row r="18" spans="1:9" x14ac:dyDescent="0.25">
      <c r="A18" s="1"/>
      <c r="B18" s="117" t="s">
        <v>180</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D2iAYVybT8J/n5Ihe6ZxPMUSUtmo1LJVE2A/C2umf5p+WXJ5mDTydZKrKvV6g0H0CM3IdKUkBMBUiAE7j8agfA==" saltValue="vXqyJ0PQowPqecu6XDebY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3" t="s">
        <v>207</v>
      </c>
      <c r="C3" s="113"/>
      <c r="D3" s="113"/>
      <c r="E3" s="113"/>
      <c r="F3" s="113"/>
      <c r="G3" s="1"/>
    </row>
    <row r="4" spans="1:7" ht="1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228</v>
      </c>
      <c r="C9" s="118"/>
      <c r="D9" s="118"/>
      <c r="E9" s="118"/>
      <c r="F9" s="119"/>
      <c r="G9" s="1"/>
    </row>
    <row r="10" spans="1:7" x14ac:dyDescent="0.25">
      <c r="A10" s="1"/>
      <c r="B10" s="114" t="s">
        <v>82</v>
      </c>
      <c r="C10" s="115"/>
      <c r="D10" s="116"/>
      <c r="E10" s="7">
        <v>0</v>
      </c>
      <c r="F10" s="8" t="s">
        <v>3</v>
      </c>
      <c r="G10" s="1"/>
    </row>
    <row r="11" spans="1:7" x14ac:dyDescent="0.25">
      <c r="A11" s="1"/>
      <c r="B11" s="120" t="s">
        <v>229</v>
      </c>
      <c r="C11" s="121"/>
      <c r="D11" s="122"/>
      <c r="E11" s="7">
        <v>0</v>
      </c>
      <c r="F11" s="8" t="s">
        <v>3</v>
      </c>
      <c r="G11" s="1"/>
    </row>
    <row r="12" spans="1:7" x14ac:dyDescent="0.25">
      <c r="A12" s="1"/>
      <c r="B12" s="135" t="s">
        <v>83</v>
      </c>
      <c r="C12" s="136"/>
      <c r="D12" s="137"/>
      <c r="E12" s="10">
        <f>E11-E10</f>
        <v>0</v>
      </c>
      <c r="F12" s="11" t="s">
        <v>3</v>
      </c>
      <c r="G12" s="1"/>
    </row>
    <row r="13" spans="1:7" x14ac:dyDescent="0.25">
      <c r="A13" s="1"/>
      <c r="B13" s="117" t="s">
        <v>78</v>
      </c>
      <c r="C13" s="118"/>
      <c r="D13" s="118"/>
      <c r="E13" s="118"/>
      <c r="F13" s="119"/>
      <c r="G13" s="1"/>
    </row>
    <row r="14" spans="1:7" x14ac:dyDescent="0.25">
      <c r="A14" s="1"/>
      <c r="B14" s="120" t="s">
        <v>230</v>
      </c>
      <c r="C14" s="121"/>
      <c r="D14" s="122"/>
      <c r="E14" s="7">
        <v>0</v>
      </c>
      <c r="F14" s="8" t="s">
        <v>3</v>
      </c>
      <c r="G14" s="1"/>
    </row>
    <row r="15" spans="1:7" x14ac:dyDescent="0.25">
      <c r="A15" s="1"/>
      <c r="B15" s="114" t="s">
        <v>231</v>
      </c>
      <c r="C15" s="115"/>
      <c r="D15" s="116"/>
      <c r="E15" s="7">
        <v>0</v>
      </c>
      <c r="F15" s="8" t="s">
        <v>3</v>
      </c>
      <c r="G15" s="1"/>
    </row>
    <row r="16" spans="1:7" x14ac:dyDescent="0.25">
      <c r="A16" s="1"/>
      <c r="B16" s="135" t="s">
        <v>83</v>
      </c>
      <c r="C16" s="136"/>
      <c r="D16" s="137"/>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YlhlEbYJ/f/IfkcMyZliZpD0Ks+g3WxItWCUrjH64+alNXZs7Mxn4IdfPTVWcwVz8FJgIqgNYt88K9aYE5OTOg==" saltValue="X/C1ANDmhZxigHft3RdejQ=="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0" t="s">
        <v>182</v>
      </c>
      <c r="C3" s="110"/>
      <c r="D3" s="110"/>
      <c r="E3" s="110"/>
      <c r="F3" s="110"/>
      <c r="G3" s="110"/>
      <c r="H3" s="110"/>
      <c r="I3" s="110"/>
      <c r="J3" s="110"/>
      <c r="K3" s="110"/>
      <c r="L3" s="1"/>
    </row>
    <row r="4" spans="1:12" ht="15" customHeight="1" x14ac:dyDescent="0.25">
      <c r="A4" s="1"/>
      <c r="B4" s="110"/>
      <c r="C4" s="110"/>
      <c r="D4" s="110"/>
      <c r="E4" s="110"/>
      <c r="F4" s="110"/>
      <c r="G4" s="110"/>
      <c r="H4" s="110"/>
      <c r="I4" s="110"/>
      <c r="J4" s="110"/>
      <c r="K4" s="11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149</v>
      </c>
      <c r="C8" s="118"/>
      <c r="D8" s="118"/>
      <c r="E8" s="118"/>
      <c r="F8" s="118"/>
      <c r="G8" s="118"/>
      <c r="H8" s="118"/>
      <c r="I8" s="118"/>
      <c r="J8" s="118"/>
      <c r="K8" s="119"/>
      <c r="L8" s="1"/>
    </row>
    <row r="9" spans="1:12" ht="39.75" customHeight="1" x14ac:dyDescent="0.25">
      <c r="A9" s="1"/>
      <c r="B9" s="18" t="s">
        <v>0</v>
      </c>
      <c r="C9" s="18" t="s">
        <v>1</v>
      </c>
      <c r="D9" s="147" t="s">
        <v>165</v>
      </c>
      <c r="E9" s="148"/>
      <c r="F9" s="147" t="s">
        <v>2</v>
      </c>
      <c r="G9" s="148"/>
      <c r="H9" s="147" t="s">
        <v>164</v>
      </c>
      <c r="I9" s="148"/>
      <c r="J9" s="147" t="s">
        <v>27</v>
      </c>
      <c r="K9" s="148"/>
      <c r="L9" s="1"/>
    </row>
    <row r="10" spans="1:12" x14ac:dyDescent="0.25">
      <c r="A10" s="1"/>
      <c r="B10" s="85" t="s">
        <v>265</v>
      </c>
      <c r="C10" s="45">
        <v>0</v>
      </c>
      <c r="D10" s="9">
        <v>0</v>
      </c>
      <c r="E10" s="14" t="s">
        <v>3</v>
      </c>
      <c r="F10" s="9">
        <f>IFERROR(D10/C10,0)</f>
        <v>0</v>
      </c>
      <c r="G10" s="14" t="s">
        <v>3</v>
      </c>
      <c r="H10" s="41">
        <v>0</v>
      </c>
      <c r="I10" s="14" t="s">
        <v>3</v>
      </c>
      <c r="J10" s="41">
        <v>0</v>
      </c>
      <c r="K10" s="14" t="s">
        <v>3</v>
      </c>
      <c r="L10" s="1"/>
    </row>
    <row r="11" spans="1:12" x14ac:dyDescent="0.25">
      <c r="A11" s="1"/>
      <c r="B11" s="75" t="s">
        <v>150</v>
      </c>
      <c r="C11" s="76"/>
      <c r="D11" s="77"/>
      <c r="E11" s="77"/>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PSbn7Osdj6FVDkLiLD2NJ2ZttDY8DAdoK/LZhVABJ1g3vTjzbQm3E4zW2Ji4bElUr5u5gK4Hj6w3OL9FZP93Sw==" saltValue="I58jl3NB0O4r8idlqALgF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183</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6" t="s">
        <v>17</v>
      </c>
      <c r="C9" s="86" t="s">
        <v>11</v>
      </c>
      <c r="D9" s="87"/>
      <c r="E9" s="86"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284</v>
      </c>
      <c r="C11" s="21">
        <v>7628</v>
      </c>
      <c r="D11" s="14" t="s">
        <v>3</v>
      </c>
      <c r="E11" s="9">
        <v>98705</v>
      </c>
      <c r="F11" s="14" t="s">
        <v>3</v>
      </c>
      <c r="G11" s="1"/>
    </row>
    <row r="12" spans="1:7" x14ac:dyDescent="0.25">
      <c r="A12" s="1"/>
      <c r="B12" s="24" t="s">
        <v>285</v>
      </c>
      <c r="C12" s="21">
        <v>97016</v>
      </c>
      <c r="D12" s="14" t="s">
        <v>3</v>
      </c>
      <c r="E12" s="9">
        <v>0</v>
      </c>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104644</v>
      </c>
      <c r="D19" s="13" t="s">
        <v>3</v>
      </c>
      <c r="E19" s="12">
        <f>SUM(E10:E18)</f>
        <v>98705</v>
      </c>
      <c r="F19" s="13" t="s">
        <v>3</v>
      </c>
      <c r="G19" s="1"/>
    </row>
    <row r="20" spans="1:7" x14ac:dyDescent="0.25">
      <c r="A20" s="1"/>
      <c r="B20" s="33" t="s">
        <v>233</v>
      </c>
      <c r="C20" s="12">
        <f>C19*(1+'Fane 15. Nøgletal'!C16)</f>
        <v>113099.2352</v>
      </c>
      <c r="D20" s="13" t="s">
        <v>3</v>
      </c>
      <c r="E20" s="12">
        <f>E19*(1+'Fane 15. Nøgletal'!C16)</f>
        <v>106680.364</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o+8HxLZfpPbPIYJaL4xfRZFbVFw8HVjyBT/DeDfC9PBVgI3PZZY6xfmGqFmCR0oKOPiSQnxDagekhGIfJxfLQ==" saltValue="RLeAC+EDwkNfXRGkWOnGQ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184</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260</v>
      </c>
      <c r="C8" s="118"/>
      <c r="D8" s="118"/>
      <c r="E8" s="118"/>
      <c r="F8" s="119"/>
      <c r="G8" s="1"/>
    </row>
    <row r="9" spans="1:7" x14ac:dyDescent="0.25">
      <c r="A9" s="1"/>
      <c r="B9" s="86" t="s">
        <v>17</v>
      </c>
      <c r="C9" s="86" t="s">
        <v>11</v>
      </c>
      <c r="D9" s="87"/>
      <c r="E9" s="86" t="s">
        <v>28</v>
      </c>
      <c r="F9" s="32"/>
      <c r="G9" s="1"/>
    </row>
    <row r="10" spans="1:7" x14ac:dyDescent="0.25">
      <c r="A10" s="1"/>
      <c r="B10" s="24" t="s">
        <v>285</v>
      </c>
      <c r="C10" s="21">
        <v>1455235</v>
      </c>
      <c r="D10" s="14" t="s">
        <v>3</v>
      </c>
      <c r="E10" s="9">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1455235</v>
      </c>
      <c r="D13" s="13" t="s">
        <v>3</v>
      </c>
      <c r="E13" s="12">
        <f>SUM(E10:E12)</f>
        <v>0</v>
      </c>
      <c r="F13" s="13" t="s">
        <v>3</v>
      </c>
      <c r="G13" s="1"/>
    </row>
    <row r="14" spans="1:7" x14ac:dyDescent="0.25">
      <c r="A14" s="1"/>
      <c r="B14" s="33" t="s">
        <v>235</v>
      </c>
      <c r="C14" s="12">
        <f>C13*(1+'Fane 15. Nøgletal'!C16)^2</f>
        <v>1699901.6814303999</v>
      </c>
      <c r="D14" s="13" t="s">
        <v>3</v>
      </c>
      <c r="E14" s="12">
        <f>E13*(1+'Fane 15. Nøgletal'!C16)^2</f>
        <v>0</v>
      </c>
      <c r="F14" s="13" t="s">
        <v>3</v>
      </c>
      <c r="G14" s="1"/>
    </row>
    <row r="15" spans="1:7" x14ac:dyDescent="0.25">
      <c r="A15" s="1"/>
      <c r="B15" s="1"/>
      <c r="C15" s="1"/>
      <c r="D15" s="1"/>
      <c r="E15" s="1"/>
      <c r="F15" s="1"/>
      <c r="G15" s="1"/>
    </row>
    <row r="16" spans="1:7" x14ac:dyDescent="0.25">
      <c r="A16" s="1"/>
      <c r="B16" s="149"/>
      <c r="C16" s="149"/>
      <c r="D16" s="149"/>
      <c r="E16" s="149"/>
      <c r="F16" s="149"/>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9"/>
      <c r="C23" s="149"/>
      <c r="D23" s="149"/>
      <c r="E23" s="149"/>
      <c r="F23" s="149"/>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9"/>
      <c r="C30" s="149"/>
      <c r="D30" s="149"/>
      <c r="E30" s="149"/>
      <c r="F30" s="149"/>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OnbPuHoKZdj+lBcMkrkwQoZFAWVKEof/hdK+FtMknF7QNVb19ARtO9DPQdP5acJzUpOV56nzhakmnrbFOa3eog==" saltValue="F0xI8+qkEhbSopE5jYhLT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185</v>
      </c>
      <c r="C3" s="113"/>
      <c r="D3" s="113"/>
      <c r="E3" s="113"/>
      <c r="F3" s="113"/>
      <c r="G3" s="1"/>
    </row>
    <row r="4" spans="1:7" ht="15" customHeight="1" x14ac:dyDescent="0.25">
      <c r="A4" s="1"/>
      <c r="B4" s="113"/>
      <c r="C4" s="113"/>
      <c r="D4" s="113"/>
      <c r="E4" s="113"/>
      <c r="F4" s="113"/>
      <c r="G4" s="1"/>
    </row>
    <row r="5" spans="1:7" x14ac:dyDescent="0.25">
      <c r="A5" s="1"/>
      <c r="B5" s="113"/>
      <c r="C5" s="113"/>
      <c r="D5" s="113"/>
      <c r="E5" s="113"/>
      <c r="F5" s="113"/>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7" t="s">
        <v>110</v>
      </c>
      <c r="C9" s="118"/>
      <c r="D9" s="118"/>
      <c r="E9" s="118"/>
      <c r="F9" s="119"/>
      <c r="G9" s="1"/>
    </row>
    <row r="10" spans="1:7" x14ac:dyDescent="0.25">
      <c r="A10" s="1"/>
      <c r="B10" s="141" t="s">
        <v>236</v>
      </c>
      <c r="C10" s="142"/>
      <c r="D10" s="143"/>
      <c r="E10" s="9">
        <v>0</v>
      </c>
      <c r="F10" s="14" t="s">
        <v>3</v>
      </c>
      <c r="G10" s="1"/>
    </row>
    <row r="11" spans="1:7" x14ac:dyDescent="0.25">
      <c r="A11" s="1"/>
      <c r="B11" s="150" t="s">
        <v>10</v>
      </c>
      <c r="C11" s="151"/>
      <c r="D11" s="152"/>
      <c r="E11" s="9">
        <f>-E10*'Fane 5. Individuelt eff. krav'!G9</f>
        <v>0</v>
      </c>
      <c r="F11" s="14" t="s">
        <v>3</v>
      </c>
      <c r="G11" s="1"/>
    </row>
    <row r="12" spans="1:7" x14ac:dyDescent="0.25">
      <c r="A12" s="1"/>
      <c r="B12" s="150" t="s">
        <v>23</v>
      </c>
      <c r="C12" s="151"/>
      <c r="D12" s="152"/>
      <c r="E12" s="9">
        <f>-E10*'Fane 15. Nøgletal'!C33</f>
        <v>0</v>
      </c>
      <c r="F12" s="14" t="s">
        <v>3</v>
      </c>
      <c r="G12" s="1"/>
    </row>
    <row r="13" spans="1:7" x14ac:dyDescent="0.25">
      <c r="A13" s="1"/>
      <c r="B13" s="117" t="s">
        <v>111</v>
      </c>
      <c r="C13" s="118"/>
      <c r="D13" s="119"/>
      <c r="E13" s="12">
        <f>SUM(E10:E12)*(1+'Fane 15. Nøgletal'!C16)^2</f>
        <v>0</v>
      </c>
      <c r="F13" s="13" t="s">
        <v>3</v>
      </c>
      <c r="G13" s="1"/>
    </row>
    <row r="14" spans="1:7" x14ac:dyDescent="0.25">
      <c r="A14" s="1"/>
      <c r="B14" s="1"/>
      <c r="C14" s="1"/>
      <c r="D14" s="1"/>
      <c r="E14" s="1"/>
      <c r="F14" s="1"/>
      <c r="G14" s="1"/>
    </row>
    <row r="15" spans="1:7" ht="15" customHeight="1" x14ac:dyDescent="0.25">
      <c r="A15" s="1"/>
      <c r="B15" s="117" t="s">
        <v>124</v>
      </c>
      <c r="C15" s="118"/>
      <c r="D15" s="118"/>
      <c r="E15" s="118"/>
      <c r="F15" s="119"/>
      <c r="G15" s="1"/>
    </row>
    <row r="16" spans="1:7" x14ac:dyDescent="0.25">
      <c r="A16" s="1"/>
      <c r="B16" s="141" t="s">
        <v>236</v>
      </c>
      <c r="C16" s="142"/>
      <c r="D16" s="143"/>
      <c r="E16" s="9">
        <v>0</v>
      </c>
      <c r="F16" s="14" t="s">
        <v>3</v>
      </c>
      <c r="G16" s="1"/>
    </row>
    <row r="17" spans="1:7" x14ac:dyDescent="0.25">
      <c r="A17" s="1"/>
      <c r="B17" s="150" t="s">
        <v>10</v>
      </c>
      <c r="C17" s="151"/>
      <c r="D17" s="152"/>
      <c r="E17" s="9">
        <f>-E16*'Fane 5. Individuelt eff. krav'!G9</f>
        <v>0</v>
      </c>
      <c r="F17" s="14" t="s">
        <v>3</v>
      </c>
      <c r="G17" s="1"/>
    </row>
    <row r="18" spans="1:7" x14ac:dyDescent="0.25">
      <c r="A18" s="1"/>
      <c r="B18" s="150" t="s">
        <v>23</v>
      </c>
      <c r="C18" s="151"/>
      <c r="D18" s="152"/>
      <c r="E18" s="9">
        <f>-E16*'Fane 15. Nøgletal'!C33</f>
        <v>0</v>
      </c>
      <c r="F18" s="14" t="s">
        <v>3</v>
      </c>
      <c r="G18" s="1"/>
    </row>
    <row r="19" spans="1:7" x14ac:dyDescent="0.25">
      <c r="A19" s="1"/>
      <c r="B19" s="117" t="s">
        <v>125</v>
      </c>
      <c r="C19" s="118"/>
      <c r="D19" s="119"/>
      <c r="E19" s="12">
        <f>SUM(E16:E18)*(1+'Fane 15. Nøgletal'!C16)^3</f>
        <v>0</v>
      </c>
      <c r="F19" s="13" t="s">
        <v>3</v>
      </c>
      <c r="G19" s="1"/>
    </row>
    <row r="20" spans="1:7" x14ac:dyDescent="0.25">
      <c r="A20" s="1"/>
      <c r="B20" s="1"/>
      <c r="C20" s="1"/>
      <c r="D20" s="1"/>
      <c r="E20" s="1"/>
      <c r="F20" s="1"/>
      <c r="G20" s="1"/>
    </row>
    <row r="21" spans="1:7" ht="15" customHeight="1" x14ac:dyDescent="0.25">
      <c r="A21" s="1"/>
      <c r="B21" s="117" t="s">
        <v>145</v>
      </c>
      <c r="C21" s="118"/>
      <c r="D21" s="118"/>
      <c r="E21" s="118"/>
      <c r="F21" s="119"/>
      <c r="G21" s="1"/>
    </row>
    <row r="22" spans="1:7" x14ac:dyDescent="0.25">
      <c r="A22" s="1"/>
      <c r="B22" s="141" t="s">
        <v>236</v>
      </c>
      <c r="C22" s="142"/>
      <c r="D22" s="143"/>
      <c r="E22" s="9">
        <v>0</v>
      </c>
      <c r="F22" s="14" t="s">
        <v>3</v>
      </c>
      <c r="G22" s="1"/>
    </row>
    <row r="23" spans="1:7" x14ac:dyDescent="0.25">
      <c r="A23" s="1"/>
      <c r="B23" s="150" t="s">
        <v>10</v>
      </c>
      <c r="C23" s="151"/>
      <c r="D23" s="152"/>
      <c r="E23" s="9">
        <f>-E22*'Fane 5. Individuelt eff. krav'!G9</f>
        <v>0</v>
      </c>
      <c r="F23" s="14" t="s">
        <v>3</v>
      </c>
      <c r="G23" s="1"/>
    </row>
    <row r="24" spans="1:7" x14ac:dyDescent="0.25">
      <c r="A24" s="1"/>
      <c r="B24" s="150" t="s">
        <v>23</v>
      </c>
      <c r="C24" s="151"/>
      <c r="D24" s="152"/>
      <c r="E24" s="9">
        <f>-E22*'Fane 15. Nøgletal'!C33</f>
        <v>0</v>
      </c>
      <c r="F24" s="14" t="s">
        <v>3</v>
      </c>
      <c r="G24" s="1"/>
    </row>
    <row r="25" spans="1:7" x14ac:dyDescent="0.25">
      <c r="A25" s="1"/>
      <c r="B25" s="117" t="s">
        <v>146</v>
      </c>
      <c r="C25" s="118"/>
      <c r="D25" s="119"/>
      <c r="E25" s="12">
        <f>SUM(E22:E24)*(1+'Fane 15. Nøgletal'!C16)^4</f>
        <v>0</v>
      </c>
      <c r="F25" s="13" t="s">
        <v>3</v>
      </c>
      <c r="G25" s="1"/>
    </row>
    <row r="26" spans="1:7" x14ac:dyDescent="0.25">
      <c r="A26" s="1"/>
      <c r="B26" s="1"/>
      <c r="C26" s="1"/>
      <c r="D26" s="1"/>
      <c r="E26" s="1"/>
      <c r="F26" s="1"/>
      <c r="G26" s="1"/>
    </row>
    <row r="27" spans="1:7" ht="15" customHeight="1" x14ac:dyDescent="0.25">
      <c r="A27" s="1"/>
      <c r="B27" s="117" t="s">
        <v>237</v>
      </c>
      <c r="C27" s="118"/>
      <c r="D27" s="118"/>
      <c r="E27" s="118"/>
      <c r="F27" s="119"/>
      <c r="G27" s="1"/>
    </row>
    <row r="28" spans="1:7" ht="14.25" customHeight="1" x14ac:dyDescent="0.25">
      <c r="A28" s="1"/>
      <c r="B28" s="141" t="s">
        <v>236</v>
      </c>
      <c r="C28" s="142"/>
      <c r="D28" s="143"/>
      <c r="E28" s="9">
        <v>0</v>
      </c>
      <c r="F28" s="14" t="s">
        <v>3</v>
      </c>
      <c r="G28" s="1"/>
    </row>
    <row r="29" spans="1:7" x14ac:dyDescent="0.25">
      <c r="A29" s="1"/>
      <c r="B29" s="150" t="s">
        <v>10</v>
      </c>
      <c r="C29" s="151"/>
      <c r="D29" s="152"/>
      <c r="E29" s="9">
        <f>-E28*'Fane 5. Individuelt eff. krav'!G9</f>
        <v>0</v>
      </c>
      <c r="F29" s="14" t="s">
        <v>3</v>
      </c>
      <c r="G29" s="1"/>
    </row>
    <row r="30" spans="1:7" x14ac:dyDescent="0.25">
      <c r="A30" s="1"/>
      <c r="B30" s="150" t="s">
        <v>23</v>
      </c>
      <c r="C30" s="151"/>
      <c r="D30" s="152"/>
      <c r="E30" s="9">
        <f>-E28*'Fane 15. Nøgletal'!C33</f>
        <v>0</v>
      </c>
      <c r="F30" s="14" t="s">
        <v>3</v>
      </c>
      <c r="G30" s="1"/>
    </row>
    <row r="31" spans="1:7" x14ac:dyDescent="0.25">
      <c r="A31" s="1"/>
      <c r="B31" s="117" t="s">
        <v>238</v>
      </c>
      <c r="C31" s="118"/>
      <c r="D31" s="119"/>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VKPNYxkEnsKktFWrY/356ZhG4xPqEmFHe/MtLBI3mf0JiZ7ZacIOulwYqY2C4T/+soaHptvwNW1qOdTh32XmpA==" saltValue="/XxifLYLqIuiKUIzI6M/4A=="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186</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31" t="s">
        <v>113</v>
      </c>
      <c r="C9" s="31" t="s">
        <v>11</v>
      </c>
      <c r="D9" s="32"/>
      <c r="E9" s="31" t="s">
        <v>28</v>
      </c>
      <c r="F9" s="32"/>
      <c r="G9" s="1"/>
    </row>
    <row r="10" spans="1:7" ht="26.25" x14ac:dyDescent="0.25">
      <c r="A10" s="1"/>
      <c r="B10" s="72"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LoIrlzDPC2gVVWzw7B7iNPM5tiJrHHyZxvSFfL5dzKUzzktN8l+YBg8X7+MJ18Pcvms4roBoEgvw1MoZeQ8HKA==" saltValue="KWTvaeLuGYo1MMWi0+s3GA=="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3" t="s">
        <v>187</v>
      </c>
      <c r="C3" s="113"/>
      <c r="D3" s="113"/>
      <c r="E3" s="113"/>
      <c r="F3" s="113"/>
      <c r="G3" s="1"/>
    </row>
    <row r="4" spans="1:7" ht="25.5" customHeight="1" x14ac:dyDescent="0.25">
      <c r="A4" s="1"/>
      <c r="B4" s="113"/>
      <c r="C4" s="113"/>
      <c r="D4" s="113"/>
      <c r="E4" s="113"/>
      <c r="F4" s="11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7" t="s">
        <v>240</v>
      </c>
      <c r="C9" s="118"/>
      <c r="D9" s="118"/>
      <c r="E9" s="118"/>
      <c r="F9" s="119"/>
      <c r="G9" s="1"/>
    </row>
    <row r="10" spans="1:7" ht="26.25" customHeight="1" x14ac:dyDescent="0.25">
      <c r="A10" s="1"/>
      <c r="B10" s="31" t="s">
        <v>18</v>
      </c>
      <c r="C10" s="144" t="s">
        <v>11</v>
      </c>
      <c r="D10" s="146"/>
      <c r="E10" s="144" t="s">
        <v>28</v>
      </c>
      <c r="F10" s="146"/>
      <c r="G10" s="1"/>
    </row>
    <row r="11" spans="1:7" x14ac:dyDescent="0.25">
      <c r="A11" s="1"/>
      <c r="B11" s="72"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9"/>
      <c r="C15" s="149"/>
      <c r="D15" s="149"/>
      <c r="E15" s="149"/>
      <c r="F15" s="149"/>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9"/>
      <c r="C21" s="149"/>
      <c r="D21" s="149"/>
      <c r="E21" s="149"/>
      <c r="F21" s="149"/>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9"/>
      <c r="C27" s="149"/>
      <c r="D27" s="149"/>
      <c r="E27" s="149"/>
      <c r="F27" s="149"/>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3tqCGhhc8ALNhfJg77WxOWzIgGK+QB/a7zPGzxVVPhuTJo6AVgZ48XXvqjUK/E0/8kxW1J/1qfq/pwxUo9pJw==" saltValue="Jt5wJQwYVACJwXoOZnx9r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201</v>
      </c>
      <c r="C3" s="110"/>
      <c r="D3" s="110"/>
      <c r="E3" s="1"/>
    </row>
    <row r="4" spans="1:5" ht="15" customHeight="1"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48557287.808897465</v>
      </c>
      <c r="D9" s="8" t="s">
        <v>3</v>
      </c>
      <c r="E9" s="1"/>
    </row>
    <row r="10" spans="1:5" ht="17.25" customHeight="1" x14ac:dyDescent="0.25">
      <c r="A10" s="1"/>
      <c r="B10" s="88" t="s">
        <v>36</v>
      </c>
      <c r="C10" s="7">
        <f>'Fane 11.1. Varige tillæg'!C20</f>
        <v>113099.2352</v>
      </c>
      <c r="D10" s="8" t="s">
        <v>3</v>
      </c>
      <c r="E10" s="1"/>
    </row>
    <row r="11" spans="1:5" ht="17.25" customHeight="1" x14ac:dyDescent="0.25">
      <c r="A11" s="1"/>
      <c r="B11" s="88" t="s">
        <v>37</v>
      </c>
      <c r="C11" s="9">
        <f>'Fane 11.1. Varige tillæg'!E20</f>
        <v>106680.364</v>
      </c>
      <c r="D11" s="8" t="s">
        <v>3</v>
      </c>
      <c r="E11" s="1"/>
    </row>
    <row r="12" spans="1:5" ht="17.25" customHeight="1" x14ac:dyDescent="0.25">
      <c r="A12" s="1"/>
      <c r="B12" s="88" t="s">
        <v>26</v>
      </c>
      <c r="C12" s="9">
        <f>-'Fane 14. Bortfald'!C13</f>
        <v>0</v>
      </c>
      <c r="D12" s="8" t="s">
        <v>3</v>
      </c>
      <c r="E12" s="1"/>
    </row>
    <row r="13" spans="1:5" ht="17.25" customHeight="1" x14ac:dyDescent="0.25">
      <c r="A13" s="1"/>
      <c r="B13" s="88" t="s">
        <v>25</v>
      </c>
      <c r="C13" s="9">
        <f>-'Fane 14. Bortfald'!E13</f>
        <v>0</v>
      </c>
      <c r="D13" s="8" t="s">
        <v>3</v>
      </c>
      <c r="E13" s="1"/>
    </row>
    <row r="14" spans="1:5" ht="17.25" customHeight="1" x14ac:dyDescent="0.25">
      <c r="A14" s="1"/>
      <c r="B14" s="88" t="s">
        <v>105</v>
      </c>
      <c r="C14" s="9">
        <f>'Fane 13. Tilknyttet virksomhed'!C14</f>
        <v>0</v>
      </c>
      <c r="D14" s="8" t="s">
        <v>3</v>
      </c>
      <c r="E14" s="1"/>
    </row>
    <row r="15" spans="1:5" ht="17.25" customHeight="1" x14ac:dyDescent="0.25">
      <c r="A15" s="1"/>
      <c r="B15" s="88" t="s">
        <v>106</v>
      </c>
      <c r="C15" s="9">
        <f>'Fane 13. Tilknyttet virksomhed'!E14</f>
        <v>0</v>
      </c>
      <c r="D15" s="8" t="s">
        <v>3</v>
      </c>
      <c r="E15" s="1"/>
    </row>
    <row r="16" spans="1:5" ht="17.25" customHeight="1" x14ac:dyDescent="0.25">
      <c r="A16" s="1"/>
      <c r="B16" s="88" t="s">
        <v>19</v>
      </c>
      <c r="C16" s="41">
        <f>SUM(C9)*'Fane 15. Nøgletal'!C16+SUM(C10:C15)*'Fane 15. Nøgletal'!C16</f>
        <v>3941187.046574275</v>
      </c>
      <c r="D16" s="8" t="s">
        <v>3</v>
      </c>
      <c r="E16" s="1"/>
    </row>
    <row r="17" spans="1:5" ht="17.25" customHeight="1" x14ac:dyDescent="0.25">
      <c r="A17" s="1"/>
      <c r="B17" s="88" t="s">
        <v>10</v>
      </c>
      <c r="C17" s="41">
        <f>-SUM(C9,C10:C16)*'Fane 5. Individuelt eff. krav'!G9</f>
        <v>-427665.15014511166</v>
      </c>
      <c r="D17" s="8" t="s">
        <v>3</v>
      </c>
      <c r="E17" s="1"/>
    </row>
    <row r="18" spans="1:5" ht="17.25" customHeight="1" x14ac:dyDescent="0.25">
      <c r="A18" s="1"/>
      <c r="B18" s="88" t="s">
        <v>23</v>
      </c>
      <c r="C18" s="41">
        <f>-'Fane 4.1. Gen. krav - drift'!G54</f>
        <v>-358173.77908648475</v>
      </c>
      <c r="D18" s="8" t="s">
        <v>3</v>
      </c>
      <c r="E18" s="1"/>
    </row>
    <row r="19" spans="1:5" ht="17.25" customHeight="1" x14ac:dyDescent="0.25">
      <c r="A19" s="1"/>
      <c r="B19" s="88" t="s">
        <v>24</v>
      </c>
      <c r="C19" s="41">
        <f>-'Fane 4.2. Gen. krav - anlæg'!G55</f>
        <v>0</v>
      </c>
      <c r="D19" s="8" t="s">
        <v>3</v>
      </c>
      <c r="E19" s="47"/>
    </row>
    <row r="20" spans="1:5" ht="17.25" customHeight="1" x14ac:dyDescent="0.25">
      <c r="A20" s="1"/>
      <c r="B20" s="82" t="s">
        <v>21</v>
      </c>
      <c r="C20" s="10">
        <f>SUM(C9:C19)</f>
        <v>51932415.525440142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2769085.49995904</v>
      </c>
      <c r="D22" s="11" t="s">
        <v>3</v>
      </c>
      <c r="E22" s="1"/>
    </row>
    <row r="23" spans="1:5" ht="15" customHeight="1" x14ac:dyDescent="0.25">
      <c r="A23" s="1"/>
      <c r="B23" s="33" t="s">
        <v>74</v>
      </c>
      <c r="C23" s="28"/>
      <c r="D23" s="19"/>
      <c r="E23" s="1"/>
    </row>
    <row r="24" spans="1:5" ht="15" customHeight="1" x14ac:dyDescent="0.25">
      <c r="A24" s="1"/>
      <c r="B24" s="82"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8" t="s">
        <v>158</v>
      </c>
      <c r="C26" s="66">
        <f>'Fane 11.2. Engangstillæg'!C14</f>
        <v>1699901.6814303999</v>
      </c>
      <c r="D26" s="8" t="s">
        <v>3</v>
      </c>
      <c r="E26" s="1"/>
    </row>
    <row r="27" spans="1:5" ht="15" customHeight="1" x14ac:dyDescent="0.25">
      <c r="A27" s="1"/>
      <c r="B27" s="88" t="s">
        <v>70</v>
      </c>
      <c r="C27" s="9">
        <f>'Fane 13. Tilknyttet virksomhed'!E26</f>
        <v>0</v>
      </c>
      <c r="D27" s="8" t="s">
        <v>3</v>
      </c>
      <c r="E27" s="1"/>
    </row>
    <row r="28" spans="1:5" ht="15" customHeight="1" x14ac:dyDescent="0.25">
      <c r="A28" s="1"/>
      <c r="B28" s="88" t="s">
        <v>161</v>
      </c>
      <c r="C28" s="66">
        <f>-C26*('Fane 15. Nøgletal'!C33+'Fane 5. Individuelt eff. krav'!G9)</f>
        <v>-47788.10910324155</v>
      </c>
      <c r="D28" s="8" t="s">
        <v>3</v>
      </c>
      <c r="E28" s="1"/>
    </row>
    <row r="29" spans="1:5" ht="15" customHeight="1" x14ac:dyDescent="0.25">
      <c r="A29" s="1"/>
      <c r="B29" s="88" t="s">
        <v>162</v>
      </c>
      <c r="C29" s="9">
        <f>'Fane 13. Tilknyttet virksomhed'!E28</f>
        <v>0</v>
      </c>
      <c r="D29" s="8" t="s">
        <v>3</v>
      </c>
      <c r="E29" s="1"/>
    </row>
    <row r="30" spans="1:5" ht="15" customHeight="1" x14ac:dyDescent="0.25">
      <c r="A30" s="1"/>
      <c r="B30" s="71" t="s">
        <v>75</v>
      </c>
      <c r="C30" s="10">
        <f>SUM(C26:C29)</f>
        <v>1652113.5723271584</v>
      </c>
      <c r="D30" s="11" t="s">
        <v>3</v>
      </c>
      <c r="E30" s="1"/>
    </row>
    <row r="31" spans="1:5" x14ac:dyDescent="0.25">
      <c r="A31" s="1"/>
      <c r="B31" s="33" t="s">
        <v>116</v>
      </c>
      <c r="C31" s="28"/>
      <c r="D31" s="19"/>
      <c r="E31" s="1"/>
    </row>
    <row r="32" spans="1:5" x14ac:dyDescent="0.25">
      <c r="A32" s="1"/>
      <c r="B32" s="31" t="s">
        <v>138</v>
      </c>
      <c r="C32" s="10">
        <f>'Fane 7. Kontrol af ØR2022'!E31</f>
        <v>-727593.5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1" t="s">
        <v>136</v>
      </c>
      <c r="C36" s="10">
        <f>'Fane 8. Skattesagen'!G13</f>
        <v>0</v>
      </c>
      <c r="D36" s="11" t="s">
        <v>3</v>
      </c>
      <c r="E36" s="1"/>
    </row>
    <row r="37" spans="1:5" x14ac:dyDescent="0.25">
      <c r="A37" s="1"/>
      <c r="B37" s="33" t="s">
        <v>108</v>
      </c>
      <c r="C37" s="49">
        <f>SUM(C34,C32,C24,C30,C22,C20,C36)</f>
        <v>55626021.097726338</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qdFYW77s1kWiNrPBFcIfSdYo2a720Sn0YzMrbC1OJ9aqPu+FTKQ/x4pGOt3Qwc2K/1NCEdnLfLBLnH4ojOEUdw==" saltValue="6U2xsXrCKjeMs8Geg3hEk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3" t="s">
        <v>188</v>
      </c>
      <c r="C3" s="113"/>
      <c r="D3" s="1"/>
    </row>
    <row r="4" spans="1:4" ht="25.5" customHeight="1" x14ac:dyDescent="0.25">
      <c r="A4" s="1"/>
      <c r="B4" s="113"/>
      <c r="C4" s="11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1" t="s">
        <v>94</v>
      </c>
      <c r="C9" s="25">
        <v>1.2699999999999999E-2</v>
      </c>
      <c r="D9" s="1"/>
    </row>
    <row r="10" spans="1:4" x14ac:dyDescent="0.25">
      <c r="A10" s="1"/>
      <c r="B10" s="81" t="s">
        <v>95</v>
      </c>
      <c r="C10" s="25">
        <v>1.7500000000000002E-2</v>
      </c>
      <c r="D10" s="1"/>
    </row>
    <row r="11" spans="1:4" x14ac:dyDescent="0.25">
      <c r="A11" s="1"/>
      <c r="B11" s="81"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1" t="s">
        <v>133</v>
      </c>
      <c r="C14" s="39">
        <v>3.3E-3</v>
      </c>
      <c r="D14" s="1"/>
    </row>
    <row r="15" spans="1:4" x14ac:dyDescent="0.25">
      <c r="A15" s="1"/>
      <c r="B15" s="34" t="s">
        <v>152</v>
      </c>
      <c r="C15" s="35">
        <v>3.56E-2</v>
      </c>
      <c r="D15" s="1"/>
    </row>
    <row r="16" spans="1:4" x14ac:dyDescent="0.25">
      <c r="A16" s="1"/>
      <c r="B16" s="65" t="s">
        <v>190</v>
      </c>
      <c r="C16" s="69">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1" t="s">
        <v>96</v>
      </c>
      <c r="C21" s="22">
        <v>9.1000000000000004E-3</v>
      </c>
      <c r="D21" s="1"/>
    </row>
    <row r="22" spans="1:4" x14ac:dyDescent="0.25">
      <c r="A22" s="1"/>
      <c r="B22" s="81" t="s">
        <v>118</v>
      </c>
      <c r="C22" s="22">
        <v>1.77E-2</v>
      </c>
      <c r="D22" s="1"/>
    </row>
    <row r="23" spans="1:4" x14ac:dyDescent="0.25">
      <c r="A23" s="1"/>
      <c r="B23" s="81" t="s">
        <v>119</v>
      </c>
      <c r="C23" s="22">
        <v>8.6999999999999994E-3</v>
      </c>
      <c r="D23" s="1"/>
    </row>
    <row r="24" spans="1:4" x14ac:dyDescent="0.25">
      <c r="A24" s="1"/>
      <c r="B24" s="81" t="s">
        <v>97</v>
      </c>
      <c r="C24" s="36">
        <v>2.8400000000000002E-2</v>
      </c>
      <c r="D24" s="1"/>
    </row>
    <row r="25" spans="1:4" x14ac:dyDescent="0.25">
      <c r="A25" s="1"/>
      <c r="B25" s="81" t="s">
        <v>120</v>
      </c>
      <c r="C25" s="36">
        <v>2.75E-2</v>
      </c>
      <c r="D25" s="1"/>
    </row>
    <row r="26" spans="1:4" x14ac:dyDescent="0.25">
      <c r="A26" s="1"/>
      <c r="B26" s="81" t="s">
        <v>121</v>
      </c>
      <c r="C26" s="36">
        <v>1.4800000000000001E-2</v>
      </c>
      <c r="D26" s="1"/>
    </row>
    <row r="27" spans="1:4" x14ac:dyDescent="0.25">
      <c r="A27" s="1"/>
      <c r="B27" s="34" t="s">
        <v>147</v>
      </c>
      <c r="C27" s="64">
        <v>0</v>
      </c>
      <c r="D27" s="1"/>
    </row>
    <row r="28" spans="1:4" x14ac:dyDescent="0.25">
      <c r="A28" s="1"/>
      <c r="B28" s="65" t="s">
        <v>191</v>
      </c>
      <c r="C28" s="68">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1"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mhfmKpTRRF8AlF0f+f9TVTfmLM6qurcrmGQixB2E8e9hTeEvDL33PHacU2S2sB5wEfrIXERANWrgUmpTyDryXA==" saltValue="PzQBaF/DZxT0/y3z/FaOb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202</v>
      </c>
      <c r="C3" s="110"/>
      <c r="D3" s="110"/>
      <c r="E3" s="1"/>
    </row>
    <row r="4" spans="1:5" ht="15" customHeight="1" x14ac:dyDescent="0.25">
      <c r="A4" s="1"/>
      <c r="B4" s="110"/>
      <c r="C4" s="110"/>
      <c r="D4" s="110"/>
      <c r="E4" s="1"/>
    </row>
    <row r="5" spans="1:5" x14ac:dyDescent="0.25">
      <c r="A5" s="1"/>
      <c r="B5" s="111"/>
      <c r="C5" s="111"/>
      <c r="D5" s="11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51932415.525440142</v>
      </c>
      <c r="D9" s="8" t="s">
        <v>3</v>
      </c>
      <c r="E9" s="1"/>
    </row>
    <row r="10" spans="1:5" ht="15" customHeight="1" x14ac:dyDescent="0.25">
      <c r="A10" s="1"/>
      <c r="B10" s="26" t="s">
        <v>19</v>
      </c>
      <c r="C10" s="7">
        <f>SUM(C9:C9)*'Fane 15. Nøgletal'!C16</f>
        <v>4196139.1744555635</v>
      </c>
      <c r="D10" s="8" t="s">
        <v>3</v>
      </c>
      <c r="E10" s="1"/>
    </row>
    <row r="11" spans="1:5" ht="15" customHeight="1" x14ac:dyDescent="0.25">
      <c r="A11" s="1"/>
      <c r="B11" s="26" t="s">
        <v>10</v>
      </c>
      <c r="C11" s="9">
        <f>-SUM(C9:C10)*'Fane 5. Individuelt eff. krav'!G9</f>
        <v>-455330.45472509612</v>
      </c>
      <c r="D11" s="8" t="s">
        <v>3</v>
      </c>
      <c r="E11" s="1"/>
    </row>
    <row r="12" spans="1:5" ht="15" customHeight="1" x14ac:dyDescent="0.25">
      <c r="A12" s="1"/>
      <c r="B12" s="26" t="s">
        <v>23</v>
      </c>
      <c r="C12" s="9">
        <f>-'Fane 4.1. Gen. krav - drift'!G59</f>
        <v>-379371.93602793926</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55293852.309142672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989792.85715573037</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-727593.5</v>
      </c>
      <c r="D20" s="11" t="s">
        <v>3</v>
      </c>
      <c r="E20" s="1"/>
    </row>
    <row r="21" spans="1:5" x14ac:dyDescent="0.25">
      <c r="A21" s="1"/>
      <c r="B21" s="30" t="s">
        <v>135</v>
      </c>
      <c r="C21" s="28"/>
      <c r="D21" s="19"/>
      <c r="E21" s="1"/>
    </row>
    <row r="22" spans="1:5" x14ac:dyDescent="0.25">
      <c r="A22" s="1"/>
      <c r="B22" s="71" t="s">
        <v>136</v>
      </c>
      <c r="C22" s="10">
        <f>'Fane 8. Skattesagen'!G14</f>
        <v>0</v>
      </c>
      <c r="D22" s="11" t="s">
        <v>3</v>
      </c>
      <c r="E22" s="1"/>
    </row>
    <row r="23" spans="1:5" x14ac:dyDescent="0.25">
      <c r="A23" s="1"/>
      <c r="B23" s="33" t="s">
        <v>122</v>
      </c>
      <c r="C23" s="12">
        <f>SUM(C14,C16,C18,C20,C22)</f>
        <v>55556051.666298404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Ze/XlYzHqkeborfSN8wk7kqtgy7pLA6FDBCP0Q9MJmvNAUbkegOzaSFFqKt2H3idvs+DNO6/fQLj8DoE5UPd9A==" saltValue="Sn6HEBZ5/5tVhXcUc5b9P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0" t="s">
        <v>203</v>
      </c>
      <c r="C3" s="110"/>
      <c r="D3" s="110"/>
      <c r="E3" s="1"/>
    </row>
    <row r="4" spans="1:5" ht="15" customHeight="1" x14ac:dyDescent="0.25">
      <c r="A4" s="1"/>
      <c r="B4" s="110"/>
      <c r="C4" s="110"/>
      <c r="D4" s="110"/>
      <c r="E4" s="1"/>
    </row>
    <row r="5" spans="1:5" x14ac:dyDescent="0.25">
      <c r="A5" s="1"/>
      <c r="B5" s="111" t="s">
        <v>253</v>
      </c>
      <c r="C5" s="111"/>
      <c r="D5" s="111"/>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55293852.309142672</v>
      </c>
      <c r="D9" s="8" t="s">
        <v>3</v>
      </c>
      <c r="E9" s="1"/>
    </row>
    <row r="10" spans="1:5" ht="15" customHeight="1" x14ac:dyDescent="0.25">
      <c r="A10" s="1"/>
      <c r="B10" s="26" t="s">
        <v>19</v>
      </c>
      <c r="C10" s="7">
        <f>SUM(C9:C9)*'Fane 15. Nøgletal'!C16</f>
        <v>4467743.2665787274</v>
      </c>
      <c r="D10" s="8" t="s">
        <v>3</v>
      </c>
      <c r="E10" s="1"/>
    </row>
    <row r="11" spans="1:5" ht="15" customHeight="1" x14ac:dyDescent="0.25">
      <c r="A11" s="1"/>
      <c r="B11" s="26" t="s">
        <v>10</v>
      </c>
      <c r="C11" s="9">
        <f>-SUM(C9:C10)*'Fane 5. Individuelt eff. krav'!G9</f>
        <v>-484802.69328298024</v>
      </c>
      <c r="D11" s="8" t="s">
        <v>3</v>
      </c>
      <c r="E11" s="1"/>
    </row>
    <row r="12" spans="1:5" ht="15" customHeight="1" x14ac:dyDescent="0.25">
      <c r="A12" s="1"/>
      <c r="B12" s="26" t="s">
        <v>23</v>
      </c>
      <c r="C12" s="9">
        <f>-'Fane 4.1. Gen. krav - drift'!G64</f>
        <v>-401824.68468981679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58874968.197748601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1069768.1200139134</v>
      </c>
      <c r="D16" s="11" t="s">
        <v>3</v>
      </c>
      <c r="E16" s="1"/>
    </row>
    <row r="17" spans="1:5" ht="15" customHeight="1" x14ac:dyDescent="0.25">
      <c r="A17" s="1"/>
      <c r="B17" s="33" t="s">
        <v>74</v>
      </c>
      <c r="C17" s="28"/>
      <c r="D17" s="19"/>
      <c r="E17" s="1"/>
    </row>
    <row r="18" spans="1:5" ht="15" customHeight="1" x14ac:dyDescent="0.25">
      <c r="A18" s="1"/>
      <c r="B18" s="82"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71" t="s">
        <v>136</v>
      </c>
      <c r="C22" s="10">
        <f>'Fane 8. Skattesagen'!G15</f>
        <v>0</v>
      </c>
      <c r="D22" s="11" t="s">
        <v>3</v>
      </c>
      <c r="E22" s="1"/>
    </row>
    <row r="23" spans="1:5" x14ac:dyDescent="0.25">
      <c r="A23" s="1"/>
      <c r="B23" s="33" t="s">
        <v>140</v>
      </c>
      <c r="C23" s="12">
        <f>SUM(C14,C16,C18,C20,C22)</f>
        <v>59944736.317762516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gg5udCSm6QCINSpNvKucVGQx2jq//Y0aFYvlSnJl3MLG30rFDlzcFgALXo8Q+LA2tW7XBWmu2r1IfQqVbjUuqw==" saltValue="mVmaxIyROkxZwYvV32JxF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0" t="s">
        <v>204</v>
      </c>
      <c r="C3" s="110"/>
      <c r="D3" s="110"/>
      <c r="E3" s="1"/>
      <c r="F3" s="1"/>
    </row>
    <row r="4" spans="1:6" ht="15" customHeight="1" x14ac:dyDescent="0.25">
      <c r="A4" s="1"/>
      <c r="B4" s="110"/>
      <c r="C4" s="110"/>
      <c r="D4" s="110"/>
      <c r="E4" s="1"/>
      <c r="F4" s="1"/>
    </row>
    <row r="5" spans="1:6" x14ac:dyDescent="0.25">
      <c r="A5" s="1"/>
      <c r="B5" s="111" t="s">
        <v>253</v>
      </c>
      <c r="C5" s="111"/>
      <c r="D5" s="111"/>
      <c r="E5" s="1"/>
      <c r="F5" s="1"/>
    </row>
    <row r="6" spans="1:6" x14ac:dyDescent="0.25">
      <c r="A6" s="1"/>
      <c r="B6" s="73"/>
      <c r="C6" s="73"/>
      <c r="D6" s="73"/>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58874968.197748601</v>
      </c>
      <c r="D9" s="8" t="s">
        <v>3</v>
      </c>
      <c r="E9" s="1"/>
      <c r="F9" s="1"/>
    </row>
    <row r="10" spans="1:6" ht="15" customHeight="1" x14ac:dyDescent="0.25">
      <c r="A10" s="1"/>
      <c r="B10" s="26" t="s">
        <v>19</v>
      </c>
      <c r="C10" s="7">
        <f>SUM(C9:C9)*'Fane 15. Nøgletal'!C16</f>
        <v>4757097.4303780869</v>
      </c>
      <c r="D10" s="8" t="s">
        <v>3</v>
      </c>
      <c r="E10" s="1"/>
      <c r="F10" s="1"/>
    </row>
    <row r="11" spans="1:6" ht="15" customHeight="1" x14ac:dyDescent="0.25">
      <c r="A11" s="1"/>
      <c r="B11" s="26" t="s">
        <v>10</v>
      </c>
      <c r="C11" s="9">
        <f>-SUM(C9:C10)*'Fane 5. Individuelt eff. krav'!G9</f>
        <v>-516201.0233911461</v>
      </c>
      <c r="D11" s="8" t="s">
        <v>3</v>
      </c>
      <c r="E11" s="1"/>
      <c r="F11" s="1"/>
    </row>
    <row r="12" spans="1:6" ht="15" customHeight="1" x14ac:dyDescent="0.25">
      <c r="A12" s="1"/>
      <c r="B12" s="26" t="s">
        <v>23</v>
      </c>
      <c r="C12" s="9">
        <f>-'Fane 4.1. Gen. krav - drift'!G69</f>
        <v>-425606.27682849893</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62690258.327907048</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1156205.3841110375</v>
      </c>
      <c r="D16" s="11" t="s">
        <v>3</v>
      </c>
      <c r="E16" s="1"/>
      <c r="F16" s="1"/>
    </row>
    <row r="17" spans="1:6" ht="15" customHeight="1" x14ac:dyDescent="0.25">
      <c r="A17" s="1"/>
      <c r="B17" s="33" t="s">
        <v>74</v>
      </c>
      <c r="C17" s="28"/>
      <c r="D17" s="19"/>
      <c r="E17" s="1"/>
      <c r="F17" s="1"/>
    </row>
    <row r="18" spans="1:6" ht="15" customHeight="1" x14ac:dyDescent="0.25">
      <c r="A18" s="1"/>
      <c r="B18" s="82"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1" t="s">
        <v>136</v>
      </c>
      <c r="C22" s="10">
        <f>'Fane 8. Skattesagen'!G16</f>
        <v>0</v>
      </c>
      <c r="D22" s="11" t="s">
        <v>3</v>
      </c>
      <c r="E22" s="1"/>
      <c r="F22" s="1"/>
    </row>
    <row r="23" spans="1:6" x14ac:dyDescent="0.25">
      <c r="A23" s="1"/>
      <c r="B23" s="33" t="s">
        <v>209</v>
      </c>
      <c r="C23" s="12">
        <f>SUM(C14,C16,C18,C20,C22)</f>
        <v>63846463.712018088</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gObfIfuLXqis4z9qmdXRALdPq+Raa2oZCQz7vdHDyn5lFyMgUSyrrHsoP3uAj1xq1dCiutp5BLvaV24AnG6rmg==" saltValue="GEwj4uLfsf0HJYktAlU3U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3" t="s">
        <v>205</v>
      </c>
      <c r="C3" s="113"/>
      <c r="D3" s="113"/>
      <c r="E3" s="1"/>
    </row>
    <row r="4" spans="1:5" x14ac:dyDescent="0.25">
      <c r="A4" s="1"/>
      <c r="B4" s="113"/>
      <c r="C4" s="113"/>
      <c r="D4" s="11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49496083.41581066</v>
      </c>
      <c r="D9" s="8" t="s">
        <v>3</v>
      </c>
      <c r="E9" s="1"/>
    </row>
    <row r="10" spans="1:5" x14ac:dyDescent="0.25">
      <c r="A10" s="1"/>
      <c r="B10" s="88" t="s">
        <v>36</v>
      </c>
      <c r="C10" s="7">
        <v>134915.89680000002</v>
      </c>
      <c r="D10" s="8" t="s">
        <v>3</v>
      </c>
      <c r="E10" s="1"/>
    </row>
    <row r="11" spans="1:5" x14ac:dyDescent="0.25">
      <c r="A11" s="1"/>
      <c r="B11" s="88" t="s">
        <v>37</v>
      </c>
      <c r="C11" s="9">
        <v>352955.26320000004</v>
      </c>
      <c r="D11" s="8" t="s">
        <v>3</v>
      </c>
      <c r="E11" s="1"/>
    </row>
    <row r="12" spans="1:5" x14ac:dyDescent="0.25">
      <c r="A12" s="1"/>
      <c r="B12" s="88" t="s">
        <v>26</v>
      </c>
      <c r="C12" s="9">
        <v>0</v>
      </c>
      <c r="D12" s="8" t="s">
        <v>3</v>
      </c>
      <c r="E12" s="1"/>
    </row>
    <row r="13" spans="1:5" x14ac:dyDescent="0.25">
      <c r="A13" s="1"/>
      <c r="B13" s="88" t="s">
        <v>25</v>
      </c>
      <c r="C13" s="9">
        <v>0</v>
      </c>
      <c r="D13" s="8" t="s">
        <v>3</v>
      </c>
      <c r="E13" s="1"/>
    </row>
    <row r="14" spans="1:5" x14ac:dyDescent="0.25">
      <c r="A14" s="1"/>
      <c r="B14" s="88" t="s">
        <v>105</v>
      </c>
      <c r="C14" s="9">
        <v>0</v>
      </c>
      <c r="D14" s="8" t="s">
        <v>3</v>
      </c>
      <c r="E14" s="1"/>
    </row>
    <row r="15" spans="1:5" x14ac:dyDescent="0.25">
      <c r="A15" s="1"/>
      <c r="B15" s="88" t="s">
        <v>106</v>
      </c>
      <c r="C15" s="9">
        <v>0</v>
      </c>
      <c r="D15" s="8" t="s">
        <v>3</v>
      </c>
      <c r="E15" s="1"/>
    </row>
    <row r="16" spans="1:5" x14ac:dyDescent="0.25">
      <c r="A16" s="1"/>
      <c r="B16" s="88" t="s">
        <v>19</v>
      </c>
      <c r="C16" s="41">
        <v>180705.28856817516</v>
      </c>
      <c r="D16" s="8" t="s">
        <v>3</v>
      </c>
      <c r="E16" s="1"/>
    </row>
    <row r="17" spans="1:5" x14ac:dyDescent="0.25">
      <c r="A17" s="1"/>
      <c r="B17" s="88" t="s">
        <v>10</v>
      </c>
      <c r="C17" s="41">
        <v>-719045.75742484222</v>
      </c>
      <c r="D17" s="8" t="s">
        <v>3</v>
      </c>
      <c r="E17" s="1"/>
    </row>
    <row r="18" spans="1:5" x14ac:dyDescent="0.25">
      <c r="A18" s="1"/>
      <c r="B18" s="88" t="s">
        <v>23</v>
      </c>
      <c r="C18" s="41">
        <v>-335851.963415612</v>
      </c>
      <c r="D18" s="8" t="s">
        <v>3</v>
      </c>
      <c r="E18" s="1"/>
    </row>
    <row r="19" spans="1:5" x14ac:dyDescent="0.25">
      <c r="A19" s="1"/>
      <c r="B19" s="88" t="s">
        <v>24</v>
      </c>
      <c r="C19" s="41">
        <v>-552474.33464091062</v>
      </c>
      <c r="D19" s="8" t="s">
        <v>3</v>
      </c>
      <c r="E19" s="47"/>
    </row>
    <row r="20" spans="1:5" x14ac:dyDescent="0.25">
      <c r="A20" s="1"/>
      <c r="B20" s="82" t="s">
        <v>21</v>
      </c>
      <c r="C20" s="10">
        <v>48557287.808897465</v>
      </c>
      <c r="D20" s="11" t="s">
        <v>3</v>
      </c>
      <c r="E20" s="1"/>
    </row>
    <row r="21" spans="1:5" x14ac:dyDescent="0.25">
      <c r="A21" s="1"/>
      <c r="B21" s="33" t="s">
        <v>12</v>
      </c>
      <c r="C21" s="28"/>
      <c r="D21" s="19"/>
      <c r="E21" s="1"/>
    </row>
    <row r="22" spans="1:5" x14ac:dyDescent="0.25">
      <c r="A22" s="1"/>
      <c r="B22" s="31" t="s">
        <v>12</v>
      </c>
      <c r="C22" s="10">
        <v>916792.2878918401</v>
      </c>
      <c r="D22" s="11" t="s">
        <v>3</v>
      </c>
      <c r="E22" s="1"/>
    </row>
    <row r="23" spans="1:5" x14ac:dyDescent="0.25">
      <c r="A23" s="1"/>
      <c r="B23" s="33" t="s">
        <v>74</v>
      </c>
      <c r="C23" s="28"/>
      <c r="D23" s="19"/>
      <c r="E23" s="1"/>
    </row>
    <row r="24" spans="1:5" x14ac:dyDescent="0.25">
      <c r="A24" s="1"/>
      <c r="B24" s="82" t="s">
        <v>74</v>
      </c>
      <c r="C24" s="10">
        <v>0</v>
      </c>
      <c r="D24" s="11" t="s">
        <v>3</v>
      </c>
      <c r="E24" s="1"/>
    </row>
    <row r="25" spans="1:5" x14ac:dyDescent="0.25">
      <c r="A25" s="1"/>
      <c r="B25" s="44" t="s">
        <v>73</v>
      </c>
      <c r="C25" s="42"/>
      <c r="D25" s="43"/>
      <c r="E25" s="1"/>
    </row>
    <row r="26" spans="1:5" x14ac:dyDescent="0.25">
      <c r="A26" s="1"/>
      <c r="B26" s="88" t="s">
        <v>158</v>
      </c>
      <c r="C26" s="70">
        <v>476175.50784000003</v>
      </c>
      <c r="D26" s="8" t="s">
        <v>3</v>
      </c>
      <c r="E26" s="1"/>
    </row>
    <row r="27" spans="1:5" x14ac:dyDescent="0.25">
      <c r="A27" s="1"/>
      <c r="B27" s="88" t="s">
        <v>70</v>
      </c>
      <c r="C27" s="70">
        <v>0</v>
      </c>
      <c r="D27" s="8" t="s">
        <v>3</v>
      </c>
      <c r="E27" s="1"/>
    </row>
    <row r="28" spans="1:5" x14ac:dyDescent="0.25">
      <c r="A28" s="1"/>
      <c r="B28" s="88" t="s">
        <v>161</v>
      </c>
      <c r="C28" s="70">
        <v>-16348.872466195406</v>
      </c>
      <c r="D28" s="8" t="s">
        <v>3</v>
      </c>
      <c r="E28" s="1"/>
    </row>
    <row r="29" spans="1:5" x14ac:dyDescent="0.25">
      <c r="A29" s="1"/>
      <c r="B29" s="88" t="s">
        <v>162</v>
      </c>
      <c r="C29" s="70">
        <v>0</v>
      </c>
      <c r="D29" s="8" t="s">
        <v>3</v>
      </c>
      <c r="E29" s="1"/>
    </row>
    <row r="30" spans="1:5" x14ac:dyDescent="0.25">
      <c r="A30" s="1"/>
      <c r="B30" s="71" t="s">
        <v>75</v>
      </c>
      <c r="C30" s="10">
        <v>459826.6353738046</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1" t="s">
        <v>136</v>
      </c>
      <c r="C36" s="10">
        <v>0</v>
      </c>
      <c r="D36" s="11" t="s">
        <v>3</v>
      </c>
      <c r="E36" s="1"/>
    </row>
    <row r="37" spans="1:5" x14ac:dyDescent="0.25">
      <c r="A37" s="1"/>
      <c r="B37" s="33" t="s">
        <v>267</v>
      </c>
      <c r="C37" s="49">
        <v>49933906.732163109</v>
      </c>
      <c r="D37" s="30" t="s">
        <v>3</v>
      </c>
      <c r="E37" s="1"/>
    </row>
    <row r="38" spans="1:5" ht="30" customHeight="1" x14ac:dyDescent="0.25">
      <c r="A38" s="1"/>
      <c r="B38" s="112" t="s">
        <v>268</v>
      </c>
      <c r="C38" s="112"/>
      <c r="D38" s="112"/>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7YvI8bAMd2NaG7Cub+dfdkv0p1eA5QJI+Zu0ayKtwvdRd6hMrKm6hYKHtm6/vnoP+2JT9z9B0fb2DJrLCprrcw==" saltValue="EoPEasSkSWuCrx7lkwV3gQ=="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3" t="s">
        <v>91</v>
      </c>
      <c r="C2" s="113"/>
      <c r="D2" s="113"/>
      <c r="E2" s="113"/>
      <c r="F2" s="113"/>
      <c r="G2" s="113"/>
      <c r="H2" s="113"/>
      <c r="I2" s="1"/>
    </row>
    <row r="3" spans="1:9" ht="28.5" customHeight="1" x14ac:dyDescent="0.25">
      <c r="A3" s="1"/>
      <c r="B3" s="113"/>
      <c r="C3" s="113"/>
      <c r="D3" s="113"/>
      <c r="E3" s="113"/>
      <c r="F3" s="113"/>
      <c r="G3" s="113"/>
      <c r="H3" s="113"/>
      <c r="I3" s="1"/>
    </row>
    <row r="4" spans="1:9" x14ac:dyDescent="0.25">
      <c r="A4" s="1"/>
      <c r="B4" s="117" t="s">
        <v>46</v>
      </c>
      <c r="C4" s="118"/>
      <c r="D4" s="118"/>
      <c r="E4" s="118"/>
      <c r="F4" s="118"/>
      <c r="G4" s="118"/>
      <c r="H4" s="119"/>
      <c r="I4" s="1"/>
    </row>
    <row r="5" spans="1:9" x14ac:dyDescent="0.25">
      <c r="A5" s="1"/>
      <c r="B5" s="120" t="s">
        <v>38</v>
      </c>
      <c r="C5" s="121"/>
      <c r="D5" s="121"/>
      <c r="E5" s="121"/>
      <c r="F5" s="122"/>
      <c r="G5" s="63">
        <v>17318997.541342873</v>
      </c>
      <c r="H5" s="14" t="s">
        <v>3</v>
      </c>
      <c r="I5" s="1"/>
    </row>
    <row r="6" spans="1:9" x14ac:dyDescent="0.25">
      <c r="A6" s="1"/>
      <c r="B6" s="114" t="s">
        <v>102</v>
      </c>
      <c r="C6" s="115"/>
      <c r="D6" s="115"/>
      <c r="E6" s="115"/>
      <c r="F6" s="116"/>
      <c r="G6" s="67">
        <v>0</v>
      </c>
      <c r="H6" s="14" t="s">
        <v>3</v>
      </c>
      <c r="I6" s="1"/>
    </row>
    <row r="7" spans="1:9" x14ac:dyDescent="0.25">
      <c r="A7" s="1"/>
      <c r="B7" s="120" t="s">
        <v>39</v>
      </c>
      <c r="C7" s="121"/>
      <c r="D7" s="121"/>
      <c r="E7" s="121"/>
      <c r="F7" s="122"/>
      <c r="G7" s="23">
        <f>SUM(G5:G6)*'Fane 15. Nøgletal'!C33</f>
        <v>346379.95082685747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7" t="s">
        <v>47</v>
      </c>
      <c r="C10" s="118"/>
      <c r="D10" s="118"/>
      <c r="E10" s="118"/>
      <c r="F10" s="118"/>
      <c r="G10" s="118"/>
      <c r="H10" s="119"/>
      <c r="I10" s="1"/>
    </row>
    <row r="11" spans="1:9" x14ac:dyDescent="0.25">
      <c r="A11" s="1"/>
      <c r="B11" s="120" t="s">
        <v>40</v>
      </c>
      <c r="C11" s="121"/>
      <c r="D11" s="121"/>
      <c r="E11" s="121"/>
      <c r="F11" s="122"/>
      <c r="G11" s="23">
        <f>(G5-G7)*(1+'Fane 15. Nøgletal'!C10)</f>
        <v>17269638.398350049</v>
      </c>
      <c r="H11" s="14" t="s">
        <v>3</v>
      </c>
      <c r="I11" s="1"/>
    </row>
    <row r="12" spans="1:9" ht="15" customHeight="1" x14ac:dyDescent="0.25">
      <c r="A12" s="1"/>
      <c r="B12" s="120" t="s">
        <v>103</v>
      </c>
      <c r="C12" s="121"/>
      <c r="D12" s="121"/>
      <c r="E12" s="121"/>
      <c r="F12" s="122"/>
      <c r="G12" s="67">
        <v>0</v>
      </c>
      <c r="H12" s="14" t="s">
        <v>3</v>
      </c>
      <c r="I12" s="1"/>
    </row>
    <row r="13" spans="1:9" x14ac:dyDescent="0.25">
      <c r="A13" s="1"/>
      <c r="B13" s="114" t="s">
        <v>100</v>
      </c>
      <c r="C13" s="115"/>
      <c r="D13" s="115"/>
      <c r="E13" s="115"/>
      <c r="F13" s="116"/>
      <c r="G13" s="67">
        <v>0</v>
      </c>
      <c r="H13" s="14" t="s">
        <v>3</v>
      </c>
      <c r="I13" s="1"/>
    </row>
    <row r="14" spans="1:9" x14ac:dyDescent="0.25">
      <c r="A14" s="1"/>
      <c r="B14" s="123" t="s">
        <v>244</v>
      </c>
      <c r="C14" s="124"/>
      <c r="D14" s="124"/>
      <c r="E14" s="124"/>
      <c r="F14" s="125"/>
      <c r="G14" s="67">
        <v>0</v>
      </c>
      <c r="H14" s="14" t="s">
        <v>3</v>
      </c>
      <c r="I14" s="1"/>
    </row>
    <row r="15" spans="1:9" x14ac:dyDescent="0.25">
      <c r="A15" s="1"/>
      <c r="B15" s="120" t="s">
        <v>41</v>
      </c>
      <c r="C15" s="121"/>
      <c r="D15" s="121"/>
      <c r="E15" s="121"/>
      <c r="F15" s="122"/>
      <c r="G15" s="23">
        <f>SUM(G11:G14)*'Fane 15. Nøgletal'!C33</f>
        <v>345392.76796700101</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7" t="s">
        <v>48</v>
      </c>
      <c r="C18" s="118"/>
      <c r="D18" s="118"/>
      <c r="E18" s="118"/>
      <c r="F18" s="118"/>
      <c r="G18" s="118"/>
      <c r="H18" s="119"/>
      <c r="I18" s="1"/>
    </row>
    <row r="19" spans="1:9" x14ac:dyDescent="0.25">
      <c r="A19" s="1"/>
      <c r="B19" s="120" t="s">
        <v>42</v>
      </c>
      <c r="C19" s="121"/>
      <c r="D19" s="121"/>
      <c r="E19" s="121"/>
      <c r="F19" s="122"/>
      <c r="G19" s="23">
        <f>(SUM(G11:G12,G14)-(G15))*(1+'Fane 15. Nøgletal'!C10)</f>
        <v>17220419.928914752</v>
      </c>
      <c r="H19" s="14" t="s">
        <v>3</v>
      </c>
      <c r="I19" s="1"/>
    </row>
    <row r="20" spans="1:9" x14ac:dyDescent="0.25">
      <c r="A20" s="1"/>
      <c r="B20" s="123" t="s">
        <v>245</v>
      </c>
      <c r="C20" s="124"/>
      <c r="D20" s="124"/>
      <c r="E20" s="124"/>
      <c r="F20" s="125"/>
      <c r="G20" s="67">
        <v>0</v>
      </c>
      <c r="H20" s="14" t="s">
        <v>3</v>
      </c>
      <c r="I20" s="1"/>
    </row>
    <row r="21" spans="1:9" x14ac:dyDescent="0.25">
      <c r="A21" s="1"/>
      <c r="B21" s="120" t="s">
        <v>43</v>
      </c>
      <c r="C21" s="121"/>
      <c r="D21" s="121"/>
      <c r="E21" s="121"/>
      <c r="F21" s="122"/>
      <c r="G21" s="23">
        <f>SUM(G19:G20)*'Fane 15. Nøgletal'!C33</f>
        <v>344408.39857829502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7" t="s">
        <v>49</v>
      </c>
      <c r="C24" s="118"/>
      <c r="D24" s="118"/>
      <c r="E24" s="118"/>
      <c r="F24" s="118"/>
      <c r="G24" s="118"/>
      <c r="H24" s="119"/>
      <c r="I24" s="1"/>
    </row>
    <row r="25" spans="1:9" x14ac:dyDescent="0.25">
      <c r="A25" s="1"/>
      <c r="B25" s="120" t="s">
        <v>44</v>
      </c>
      <c r="C25" s="121"/>
      <c r="D25" s="121"/>
      <c r="E25" s="121"/>
      <c r="F25" s="122"/>
      <c r="G25" s="23">
        <f>(G19+G20-G21)*(1+'Fane 15. Nøgletal'!C12)</f>
        <v>17208468.957484089</v>
      </c>
      <c r="H25" s="14" t="s">
        <v>3</v>
      </c>
      <c r="I25" s="1"/>
    </row>
    <row r="26" spans="1:9" x14ac:dyDescent="0.25">
      <c r="A26" s="1"/>
      <c r="B26" s="123" t="s">
        <v>246</v>
      </c>
      <c r="C26" s="124"/>
      <c r="D26" s="124"/>
      <c r="E26" s="124"/>
      <c r="F26" s="125"/>
      <c r="G26" s="67">
        <v>0</v>
      </c>
      <c r="H26" s="14" t="s">
        <v>3</v>
      </c>
      <c r="I26" s="1"/>
    </row>
    <row r="27" spans="1:9" x14ac:dyDescent="0.25">
      <c r="A27" s="1"/>
      <c r="B27" s="120" t="s">
        <v>45</v>
      </c>
      <c r="C27" s="121"/>
      <c r="D27" s="121"/>
      <c r="E27" s="121"/>
      <c r="F27" s="122"/>
      <c r="G27" s="23">
        <f>(G25+G26)*'Fane 15. Nøgletal'!C33</f>
        <v>344169.37914968177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7" t="s">
        <v>52</v>
      </c>
      <c r="C30" s="118"/>
      <c r="D30" s="118"/>
      <c r="E30" s="118"/>
      <c r="F30" s="118"/>
      <c r="G30" s="118"/>
      <c r="H30" s="119"/>
      <c r="I30" s="1"/>
    </row>
    <row r="31" spans="1:9" x14ac:dyDescent="0.25">
      <c r="A31" s="1"/>
      <c r="B31" s="120" t="s">
        <v>53</v>
      </c>
      <c r="C31" s="121"/>
      <c r="D31" s="121"/>
      <c r="E31" s="121"/>
      <c r="F31" s="122"/>
      <c r="G31" s="23">
        <f>(G25+G26-G27)*(1+'Fane 15. Nøgletal'!C12)</f>
        <v>17196526.280027594</v>
      </c>
      <c r="H31" s="14" t="s">
        <v>3</v>
      </c>
      <c r="I31" s="1"/>
    </row>
    <row r="32" spans="1:9" x14ac:dyDescent="0.25">
      <c r="A32" s="1"/>
      <c r="B32" s="120" t="s">
        <v>243</v>
      </c>
      <c r="C32" s="121"/>
      <c r="D32" s="121"/>
      <c r="E32" s="121"/>
      <c r="F32" s="122"/>
      <c r="G32" s="63">
        <v>0</v>
      </c>
      <c r="H32" s="14" t="s">
        <v>3</v>
      </c>
      <c r="I32" s="1"/>
    </row>
    <row r="33" spans="1:9" x14ac:dyDescent="0.25">
      <c r="A33" s="1"/>
      <c r="B33" s="120" t="s">
        <v>54</v>
      </c>
      <c r="C33" s="121"/>
      <c r="D33" s="121"/>
      <c r="E33" s="121"/>
      <c r="F33" s="122"/>
      <c r="G33" s="23">
        <f>(G31+G32)*'Fane 15. Nøgletal'!C33</f>
        <v>343930.52560055192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7" t="s">
        <v>126</v>
      </c>
      <c r="C36" s="118"/>
      <c r="D36" s="118"/>
      <c r="E36" s="118"/>
      <c r="F36" s="118"/>
      <c r="G36" s="118"/>
      <c r="H36" s="119"/>
      <c r="I36" s="1"/>
    </row>
    <row r="37" spans="1:9" x14ac:dyDescent="0.25">
      <c r="A37" s="1"/>
      <c r="B37" s="120" t="s">
        <v>68</v>
      </c>
      <c r="C37" s="121"/>
      <c r="D37" s="121"/>
      <c r="E37" s="121"/>
      <c r="F37" s="122"/>
      <c r="G37" s="23">
        <f>(G31+G32-G33)*(1+'Fane 15. Nøgletal'!C14)</f>
        <v>16908209.320416652</v>
      </c>
      <c r="H37" s="14" t="s">
        <v>3</v>
      </c>
      <c r="I37" s="1"/>
    </row>
    <row r="38" spans="1:9" x14ac:dyDescent="0.25">
      <c r="A38" s="1"/>
      <c r="B38" s="120" t="s">
        <v>242</v>
      </c>
      <c r="C38" s="121"/>
      <c r="D38" s="121"/>
      <c r="E38" s="121"/>
      <c r="F38" s="122"/>
      <c r="G38" s="63">
        <v>28633.046766050003</v>
      </c>
      <c r="H38" s="14" t="s">
        <v>3</v>
      </c>
      <c r="I38" s="1"/>
    </row>
    <row r="39" spans="1:9" x14ac:dyDescent="0.25">
      <c r="A39" s="1"/>
      <c r="B39" s="120" t="s">
        <v>128</v>
      </c>
      <c r="C39" s="121"/>
      <c r="D39" s="121"/>
      <c r="E39" s="121"/>
      <c r="F39" s="122"/>
      <c r="G39" s="23">
        <f>(G37+G38)*'Fane 15. Nøgletal'!C33</f>
        <v>338736.84734365402</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7" t="s">
        <v>127</v>
      </c>
      <c r="C42" s="118"/>
      <c r="D42" s="118"/>
      <c r="E42" s="118"/>
      <c r="F42" s="118"/>
      <c r="G42" s="118"/>
      <c r="H42" s="119"/>
      <c r="I42" s="1"/>
    </row>
    <row r="43" spans="1:9" x14ac:dyDescent="0.25">
      <c r="A43" s="1"/>
      <c r="B43" s="120" t="s">
        <v>155</v>
      </c>
      <c r="C43" s="121"/>
      <c r="D43" s="121"/>
      <c r="E43" s="121"/>
      <c r="F43" s="122"/>
      <c r="G43" s="23">
        <f>(G37+G38-G39)*(1+'Fane 15. Nøgletal'!C14)</f>
        <v>16652879.268054519</v>
      </c>
      <c r="H43" s="14" t="s">
        <v>3</v>
      </c>
      <c r="I43" s="1"/>
    </row>
    <row r="44" spans="1:9" x14ac:dyDescent="0.25">
      <c r="A44" s="1"/>
      <c r="B44" s="126" t="s">
        <v>157</v>
      </c>
      <c r="C44" s="127"/>
      <c r="D44" s="127"/>
      <c r="E44" s="127"/>
      <c r="F44" s="128"/>
      <c r="G44" s="45">
        <v>139718.90272608004</v>
      </c>
      <c r="H44" s="14" t="s">
        <v>3</v>
      </c>
      <c r="I44" s="1"/>
    </row>
    <row r="45" spans="1:9" x14ac:dyDescent="0.25">
      <c r="A45" s="1"/>
      <c r="B45" s="120" t="s">
        <v>129</v>
      </c>
      <c r="C45" s="121"/>
      <c r="D45" s="121"/>
      <c r="E45" s="121"/>
      <c r="F45" s="122"/>
      <c r="G45" s="23">
        <f>SUM(G43:G44)*'Fane 15. Nøgletal'!C33</f>
        <v>335851.963415612</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7" t="s">
        <v>192</v>
      </c>
      <c r="C51" s="118"/>
      <c r="D51" s="118"/>
      <c r="E51" s="118"/>
      <c r="F51" s="118"/>
      <c r="G51" s="118"/>
      <c r="H51" s="119"/>
      <c r="I51" s="1"/>
    </row>
    <row r="52" spans="1:9" x14ac:dyDescent="0.25">
      <c r="A52" s="1"/>
      <c r="B52" s="120" t="s">
        <v>154</v>
      </c>
      <c r="C52" s="121"/>
      <c r="D52" s="121"/>
      <c r="E52" s="121"/>
      <c r="F52" s="122"/>
      <c r="G52" s="23">
        <f>(G43+G44-G45)*(1+'Fane 15. Nøgletal'!C16)</f>
        <v>17786451.300920077</v>
      </c>
      <c r="H52" s="14" t="s">
        <v>3</v>
      </c>
      <c r="I52" s="1"/>
    </row>
    <row r="53" spans="1:9" x14ac:dyDescent="0.25">
      <c r="A53" s="1"/>
      <c r="B53" s="78" t="s">
        <v>194</v>
      </c>
      <c r="C53" s="79"/>
      <c r="D53" s="79"/>
      <c r="E53" s="79"/>
      <c r="F53" s="80"/>
      <c r="G53" s="23">
        <f>('Fane 2.1. Økonomisk ramme 2024'!C10+'Fane 2.1. Økonomisk ramme 2024'!C12+'Fane 2.1. Økonomisk ramme 2024'!C14)*(1+'Fane 15. Nøgletal'!C16)</f>
        <v>122237.65340416</v>
      </c>
      <c r="H53" s="14" t="s">
        <v>3</v>
      </c>
      <c r="I53" s="1"/>
    </row>
    <row r="54" spans="1:9" x14ac:dyDescent="0.25">
      <c r="A54" s="1"/>
      <c r="B54" s="120" t="s">
        <v>210</v>
      </c>
      <c r="C54" s="121"/>
      <c r="D54" s="121"/>
      <c r="E54" s="121"/>
      <c r="F54" s="122"/>
      <c r="G54" s="23">
        <f>(G52)*'Fane 15. Nøgletal'!C33+(G53)*'Fane 15. Nøgletal'!C33</f>
        <v>358173.77908648475</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7" t="s">
        <v>193</v>
      </c>
      <c r="C57" s="118"/>
      <c r="D57" s="118"/>
      <c r="E57" s="118"/>
      <c r="F57" s="118"/>
      <c r="G57" s="118"/>
      <c r="H57" s="119"/>
      <c r="I57" s="1"/>
    </row>
    <row r="58" spans="1:9" x14ac:dyDescent="0.25">
      <c r="A58" s="1"/>
      <c r="B58" s="78" t="s">
        <v>212</v>
      </c>
      <c r="C58" s="79"/>
      <c r="D58" s="79"/>
      <c r="E58" s="79"/>
      <c r="F58" s="80"/>
      <c r="G58" s="23">
        <f>(G52+G53-G54)*(1+'Fane 15. Nøgletal'!C16)</f>
        <v>18968596.801396962</v>
      </c>
      <c r="H58" s="14" t="s">
        <v>3</v>
      </c>
      <c r="I58" s="1"/>
    </row>
    <row r="59" spans="1:9" x14ac:dyDescent="0.25">
      <c r="A59" s="1"/>
      <c r="B59" s="78" t="s">
        <v>211</v>
      </c>
      <c r="C59" s="79"/>
      <c r="D59" s="79"/>
      <c r="E59" s="79"/>
      <c r="F59" s="80"/>
      <c r="G59" s="23">
        <f>(G58)*'Fane 15. Nøgletal'!C33</f>
        <v>379371.93602793926</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7" t="s">
        <v>256</v>
      </c>
      <c r="C62" s="118"/>
      <c r="D62" s="118"/>
      <c r="E62" s="118"/>
      <c r="F62" s="118"/>
      <c r="G62" s="118"/>
      <c r="H62" s="119"/>
      <c r="I62" s="1"/>
    </row>
    <row r="63" spans="1:9" x14ac:dyDescent="0.25">
      <c r="A63" s="1"/>
      <c r="B63" s="78" t="s">
        <v>213</v>
      </c>
      <c r="C63" s="79"/>
      <c r="D63" s="79"/>
      <c r="E63" s="79"/>
      <c r="F63" s="80"/>
      <c r="G63" s="23">
        <f>(G58-G59)*(1+'Fane 15. Nøgletal'!C16)</f>
        <v>20091234.234490838</v>
      </c>
      <c r="H63" s="14" t="s">
        <v>3</v>
      </c>
      <c r="I63" s="1"/>
    </row>
    <row r="64" spans="1:9" x14ac:dyDescent="0.25">
      <c r="A64" s="1"/>
      <c r="B64" s="78" t="s">
        <v>214</v>
      </c>
      <c r="C64" s="79"/>
      <c r="D64" s="79"/>
      <c r="E64" s="79"/>
      <c r="F64" s="80"/>
      <c r="G64" s="23">
        <f>(G63)*'Fane 15. Nøgletal'!C33</f>
        <v>401824.68468981679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7" t="s">
        <v>257</v>
      </c>
      <c r="C67" s="118"/>
      <c r="D67" s="118"/>
      <c r="E67" s="118"/>
      <c r="F67" s="118"/>
      <c r="G67" s="118"/>
      <c r="H67" s="119"/>
      <c r="I67" s="1"/>
    </row>
    <row r="68" spans="1:9" x14ac:dyDescent="0.25">
      <c r="A68" s="1"/>
      <c r="B68" s="78" t="s">
        <v>213</v>
      </c>
      <c r="C68" s="79"/>
      <c r="D68" s="79"/>
      <c r="E68" s="79"/>
      <c r="F68" s="80"/>
      <c r="G68" s="23">
        <f>(G63-G64)*(1+'Fane 15. Nøgletal'!C16)</f>
        <v>21280313.841424946</v>
      </c>
      <c r="H68" s="14" t="s">
        <v>3</v>
      </c>
      <c r="I68" s="1"/>
    </row>
    <row r="69" spans="1:9" x14ac:dyDescent="0.25">
      <c r="A69" s="1"/>
      <c r="B69" s="78" t="s">
        <v>214</v>
      </c>
      <c r="C69" s="79"/>
      <c r="D69" s="79"/>
      <c r="E69" s="79"/>
      <c r="F69" s="80"/>
      <c r="G69" s="23">
        <f>(G68)*'Fane 15. Nøgletal'!C33</f>
        <v>425606.27682849893</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Kb49nUu4jnHa9j2PQxnkUOyR3qjEskaM+msgZpA5+7uXcutO+dZpUeUx2ombNjsO/wSDpza/D32rR2vA4S8tDQ==" saltValue="m+w2rYjoGQN77K6vX+dwdw=="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9" t="s">
        <v>92</v>
      </c>
      <c r="C1" s="129"/>
      <c r="D1" s="129"/>
      <c r="E1" s="129"/>
      <c r="F1" s="129"/>
      <c r="G1" s="129"/>
      <c r="H1" s="129"/>
      <c r="I1" s="1"/>
    </row>
    <row r="2" spans="1:9" ht="15" customHeight="1" x14ac:dyDescent="0.25">
      <c r="A2" s="1"/>
      <c r="B2" s="129"/>
      <c r="C2" s="129"/>
      <c r="D2" s="129"/>
      <c r="E2" s="129"/>
      <c r="F2" s="129"/>
      <c r="G2" s="129"/>
      <c r="H2" s="129"/>
      <c r="I2" s="1"/>
    </row>
    <row r="3" spans="1:9" ht="15" customHeight="1" x14ac:dyDescent="0.25">
      <c r="A3" s="1"/>
      <c r="B3" s="130"/>
      <c r="C3" s="130"/>
      <c r="D3" s="130"/>
      <c r="E3" s="130"/>
      <c r="F3" s="130"/>
      <c r="G3" s="130"/>
      <c r="H3" s="130"/>
      <c r="I3" s="1"/>
    </row>
    <row r="4" spans="1:9" x14ac:dyDescent="0.25">
      <c r="A4" s="1"/>
      <c r="B4" s="117" t="s">
        <v>50</v>
      </c>
      <c r="C4" s="118"/>
      <c r="D4" s="118"/>
      <c r="E4" s="118"/>
      <c r="F4" s="118"/>
      <c r="G4" s="118"/>
      <c r="H4" s="119"/>
      <c r="I4" s="1"/>
    </row>
    <row r="5" spans="1:9" x14ac:dyDescent="0.25">
      <c r="A5" s="1"/>
      <c r="B5" s="120" t="s">
        <v>55</v>
      </c>
      <c r="C5" s="121"/>
      <c r="D5" s="121"/>
      <c r="E5" s="121"/>
      <c r="F5" s="122"/>
      <c r="G5" s="63">
        <v>38434464.609360769</v>
      </c>
      <c r="H5" s="14" t="s">
        <v>3</v>
      </c>
      <c r="I5" s="1"/>
    </row>
    <row r="6" spans="1:9" x14ac:dyDescent="0.25">
      <c r="A6" s="1"/>
      <c r="B6" s="120" t="s">
        <v>51</v>
      </c>
      <c r="C6" s="121"/>
      <c r="D6" s="121"/>
      <c r="E6" s="121"/>
      <c r="F6" s="122"/>
      <c r="G6" s="23">
        <f>G5*'Fane 15. Nøgletal'!C21</f>
        <v>349753.62794518302</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7" t="s">
        <v>56</v>
      </c>
      <c r="C9" s="118"/>
      <c r="D9" s="118"/>
      <c r="E9" s="118"/>
      <c r="F9" s="118"/>
      <c r="G9" s="118"/>
      <c r="H9" s="119"/>
      <c r="I9" s="1"/>
    </row>
    <row r="10" spans="1:9" x14ac:dyDescent="0.25">
      <c r="A10" s="1"/>
      <c r="B10" s="120" t="s">
        <v>57</v>
      </c>
      <c r="C10" s="121"/>
      <c r="D10" s="121"/>
      <c r="E10" s="121"/>
      <c r="F10" s="122"/>
      <c r="G10" s="23">
        <f>(G5-G6)*(1+'Fane 15. Nøgletal'!C10)</f>
        <v>38751193.423590362</v>
      </c>
      <c r="H10" s="14" t="s">
        <v>3</v>
      </c>
      <c r="I10" s="1"/>
    </row>
    <row r="11" spans="1:9" x14ac:dyDescent="0.25">
      <c r="A11" s="1"/>
      <c r="B11" s="120" t="s">
        <v>104</v>
      </c>
      <c r="C11" s="121"/>
      <c r="D11" s="121"/>
      <c r="E11" s="121"/>
      <c r="F11" s="122"/>
      <c r="G11" s="63">
        <v>-467011.08899953915</v>
      </c>
      <c r="H11" s="14" t="s">
        <v>3</v>
      </c>
      <c r="I11" s="1"/>
    </row>
    <row r="12" spans="1:9" x14ac:dyDescent="0.25">
      <c r="A12" s="1"/>
      <c r="B12" s="123" t="s">
        <v>247</v>
      </c>
      <c r="C12" s="124"/>
      <c r="D12" s="124"/>
      <c r="E12" s="124"/>
      <c r="F12" s="125"/>
      <c r="G12" s="67">
        <v>0</v>
      </c>
      <c r="H12" s="14" t="s">
        <v>3</v>
      </c>
      <c r="I12" s="1"/>
    </row>
    <row r="13" spans="1:9" x14ac:dyDescent="0.25">
      <c r="A13" s="1"/>
      <c r="B13" s="120" t="s">
        <v>58</v>
      </c>
      <c r="C13" s="121"/>
      <c r="D13" s="121"/>
      <c r="E13" s="121"/>
      <c r="F13" s="122"/>
      <c r="G13" s="23">
        <f>SUM(G10:G12)*'Fane 15. Nøgletal'!C22</f>
        <v>677630.02732225752</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7" t="s">
        <v>59</v>
      </c>
      <c r="C16" s="118"/>
      <c r="D16" s="118"/>
      <c r="E16" s="118"/>
      <c r="F16" s="118"/>
      <c r="G16" s="118"/>
      <c r="H16" s="119"/>
      <c r="I16" s="1"/>
    </row>
    <row r="17" spans="1:9" x14ac:dyDescent="0.25">
      <c r="A17" s="1"/>
      <c r="B17" s="120" t="s">
        <v>60</v>
      </c>
      <c r="C17" s="121"/>
      <c r="D17" s="121"/>
      <c r="E17" s="121"/>
      <c r="F17" s="122"/>
      <c r="G17" s="23">
        <f>(SUM(G10:G12)-G13)*(1+'Fane 15. Nøgletal'!C10)</f>
        <v>38264666.972645767</v>
      </c>
      <c r="H17" s="14" t="s">
        <v>3</v>
      </c>
      <c r="I17" s="1"/>
    </row>
    <row r="18" spans="1:9" x14ac:dyDescent="0.25">
      <c r="A18" s="1"/>
      <c r="B18" s="123" t="s">
        <v>248</v>
      </c>
      <c r="C18" s="124"/>
      <c r="D18" s="124"/>
      <c r="E18" s="124"/>
      <c r="F18" s="125"/>
      <c r="G18" s="63">
        <v>3644.1176896399993</v>
      </c>
      <c r="H18" s="14" t="s">
        <v>3</v>
      </c>
      <c r="I18" s="1"/>
    </row>
    <row r="19" spans="1:9" x14ac:dyDescent="0.25">
      <c r="A19" s="1"/>
      <c r="B19" s="120" t="s">
        <v>61</v>
      </c>
      <c r="C19" s="121"/>
      <c r="D19" s="121"/>
      <c r="E19" s="121"/>
      <c r="F19" s="122"/>
      <c r="G19" s="23">
        <f>G17*'Fane 15. Nøgletal'!C22+G18*'Fane 15. Nøgletal'!C23</f>
        <v>677316.30923972989</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7" t="s">
        <v>62</v>
      </c>
      <c r="C22" s="118"/>
      <c r="D22" s="118"/>
      <c r="E22" s="118"/>
      <c r="F22" s="118"/>
      <c r="G22" s="118"/>
      <c r="H22" s="119"/>
      <c r="I22" s="1"/>
    </row>
    <row r="23" spans="1:9" x14ac:dyDescent="0.25">
      <c r="A23" s="1"/>
      <c r="B23" s="120" t="s">
        <v>63</v>
      </c>
      <c r="C23" s="121"/>
      <c r="D23" s="121"/>
      <c r="E23" s="121"/>
      <c r="F23" s="122"/>
      <c r="G23" s="23">
        <f>(G17+G18-G19)*(1+'Fane 15. Nøgletal'!C12)</f>
        <v>38331537.378283262</v>
      </c>
      <c r="H23" s="14" t="s">
        <v>3</v>
      </c>
      <c r="I23" s="1"/>
    </row>
    <row r="24" spans="1:9" x14ac:dyDescent="0.25">
      <c r="A24" s="1"/>
      <c r="B24" s="123" t="s">
        <v>249</v>
      </c>
      <c r="C24" s="124"/>
      <c r="D24" s="124"/>
      <c r="E24" s="124"/>
      <c r="F24" s="125"/>
      <c r="G24" s="63">
        <v>25366.448422180802</v>
      </c>
      <c r="H24" s="14" t="s">
        <v>3</v>
      </c>
      <c r="I24" s="1"/>
    </row>
    <row r="25" spans="1:9" x14ac:dyDescent="0.25">
      <c r="A25" s="1"/>
      <c r="B25" s="120" t="s">
        <v>64</v>
      </c>
      <c r="C25" s="121"/>
      <c r="D25" s="121"/>
      <c r="E25" s="121"/>
      <c r="F25" s="122"/>
      <c r="G25" s="23">
        <f>(G23+G24)*'Fane 15. Nøgletal'!C24</f>
        <v>1089336.0686784345</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7" t="s">
        <v>65</v>
      </c>
      <c r="C28" s="118"/>
      <c r="D28" s="118"/>
      <c r="E28" s="118"/>
      <c r="F28" s="118"/>
      <c r="G28" s="118"/>
      <c r="H28" s="119"/>
      <c r="I28" s="1"/>
    </row>
    <row r="29" spans="1:9" x14ac:dyDescent="0.25">
      <c r="A29" s="1"/>
      <c r="B29" s="120" t="s">
        <v>66</v>
      </c>
      <c r="C29" s="121"/>
      <c r="D29" s="121"/>
      <c r="E29" s="121"/>
      <c r="F29" s="122"/>
      <c r="G29" s="23">
        <f>(G23+G24-G25)*(1+'Fane 15. Nøgletal'!C12)</f>
        <v>38001738.842860147</v>
      </c>
      <c r="H29" s="14" t="s">
        <v>3</v>
      </c>
      <c r="I29" s="1"/>
    </row>
    <row r="30" spans="1:9" x14ac:dyDescent="0.25">
      <c r="A30" s="1"/>
      <c r="B30" s="120" t="s">
        <v>250</v>
      </c>
      <c r="C30" s="121"/>
      <c r="D30" s="121"/>
      <c r="E30" s="121"/>
      <c r="F30" s="122"/>
      <c r="G30" s="63">
        <v>453437.65376531996</v>
      </c>
      <c r="H30" s="14" t="s">
        <v>3</v>
      </c>
      <c r="I30" s="1"/>
    </row>
    <row r="31" spans="1:9" x14ac:dyDescent="0.25">
      <c r="A31" s="1"/>
      <c r="B31" s="120" t="s">
        <v>67</v>
      </c>
      <c r="C31" s="121"/>
      <c r="D31" s="121"/>
      <c r="E31" s="121"/>
      <c r="F31" s="122"/>
      <c r="G31" s="23">
        <f>G29*'Fane 15. Nøgletal'!C24+G30*'Fane 15. Nøgletal'!C25</f>
        <v>1091718.9186157745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7" t="s">
        <v>130</v>
      </c>
      <c r="C34" s="118"/>
      <c r="D34" s="118"/>
      <c r="E34" s="118"/>
      <c r="F34" s="118"/>
      <c r="G34" s="118"/>
      <c r="H34" s="119"/>
      <c r="I34" s="1"/>
    </row>
    <row r="35" spans="1:9" x14ac:dyDescent="0.25">
      <c r="A35" s="1"/>
      <c r="B35" s="120" t="s">
        <v>215</v>
      </c>
      <c r="C35" s="121"/>
      <c r="D35" s="121"/>
      <c r="E35" s="121"/>
      <c r="F35" s="122"/>
      <c r="G35" s="23">
        <f>(G29+G30-G31)*(1+'Fane 15. Nøgletal'!C14)</f>
        <v>37486756.988017127</v>
      </c>
      <c r="H35" s="14" t="s">
        <v>3</v>
      </c>
      <c r="I35" s="1"/>
    </row>
    <row r="36" spans="1:9" x14ac:dyDescent="0.25">
      <c r="A36" s="1"/>
      <c r="B36" s="120" t="s">
        <v>251</v>
      </c>
      <c r="C36" s="121"/>
      <c r="D36" s="121"/>
      <c r="E36" s="121"/>
      <c r="F36" s="122"/>
      <c r="G36" s="63">
        <v>278737.60171723005</v>
      </c>
      <c r="H36" s="14" t="s">
        <v>3</v>
      </c>
      <c r="I36" s="1"/>
    </row>
    <row r="37" spans="1:9" x14ac:dyDescent="0.25">
      <c r="A37" s="1"/>
      <c r="B37" s="120" t="s">
        <v>131</v>
      </c>
      <c r="C37" s="121"/>
      <c r="D37" s="121"/>
      <c r="E37" s="121"/>
      <c r="F37" s="122"/>
      <c r="G37" s="23">
        <f>(G35+G36)*'Fane 15. Nøgletal'!C26</f>
        <v>558929.31992806855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7" t="s">
        <v>151</v>
      </c>
      <c r="C40" s="118"/>
      <c r="D40" s="118"/>
      <c r="E40" s="118"/>
      <c r="F40" s="118"/>
      <c r="G40" s="118"/>
      <c r="H40" s="119"/>
      <c r="I40" s="1"/>
    </row>
    <row r="41" spans="1:9" x14ac:dyDescent="0.25">
      <c r="A41" s="1"/>
      <c r="B41" s="120" t="s">
        <v>216</v>
      </c>
      <c r="C41" s="121"/>
      <c r="D41" s="121"/>
      <c r="E41" s="121"/>
      <c r="F41" s="122"/>
      <c r="G41" s="23">
        <f>(G35+G36-G37)*(1+'Fane 15. Nøgletal'!C14)</f>
        <v>37329346.93519666</v>
      </c>
      <c r="H41" s="14" t="s">
        <v>3</v>
      </c>
      <c r="I41" s="1"/>
    </row>
    <row r="42" spans="1:9" x14ac:dyDescent="0.25">
      <c r="A42" s="1"/>
      <c r="B42" s="40" t="s">
        <v>156</v>
      </c>
      <c r="C42" s="79"/>
      <c r="D42" s="79"/>
      <c r="E42" s="79"/>
      <c r="F42" s="80"/>
      <c r="G42" s="23">
        <v>365520.47056992009</v>
      </c>
      <c r="H42" s="14" t="s">
        <v>3</v>
      </c>
      <c r="I42" s="1"/>
    </row>
    <row r="43" spans="1:9" x14ac:dyDescent="0.25">
      <c r="A43" s="1"/>
      <c r="B43" s="120" t="s">
        <v>132</v>
      </c>
      <c r="C43" s="121"/>
      <c r="D43" s="121"/>
      <c r="E43" s="121"/>
      <c r="F43" s="122"/>
      <c r="G43" s="23">
        <f>(G41)*'Fane 15. Nøgletal'!C26+G42*'Fane 15. Nøgletal'!C27</f>
        <v>552474.33464091062</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7" t="s">
        <v>259</v>
      </c>
      <c r="C52" s="118"/>
      <c r="D52" s="118"/>
      <c r="E52" s="118"/>
      <c r="F52" s="118"/>
      <c r="G52" s="118"/>
      <c r="H52" s="119"/>
      <c r="I52" s="1"/>
    </row>
    <row r="53" spans="1:9" x14ac:dyDescent="0.25">
      <c r="A53" s="1"/>
      <c r="B53" s="120" t="s">
        <v>217</v>
      </c>
      <c r="C53" s="121"/>
      <c r="D53" s="121"/>
      <c r="E53" s="121"/>
      <c r="F53" s="122"/>
      <c r="G53" s="23">
        <f>(G41+G42-G43)*(1+'Fane 15. Nøgletal'!C16)</f>
        <v>40143498.431272626</v>
      </c>
      <c r="H53" s="14" t="s">
        <v>3</v>
      </c>
      <c r="I53" s="1"/>
    </row>
    <row r="54" spans="1:9" x14ac:dyDescent="0.25">
      <c r="A54" s="1"/>
      <c r="B54" s="78" t="s">
        <v>195</v>
      </c>
      <c r="C54" s="79"/>
      <c r="D54" s="79"/>
      <c r="E54" s="79"/>
      <c r="F54" s="80"/>
      <c r="G54" s="23">
        <f>('Fane 2.1. Økonomisk ramme 2024'!C11+'Fane 2.1. Økonomisk ramme 2024'!C13+'Fane 2.1. Økonomisk ramme 2024'!C15)*(1+'Fane 15. Nøgletal'!C16)</f>
        <v>115300.1374112</v>
      </c>
      <c r="H54" s="14" t="s">
        <v>3</v>
      </c>
      <c r="I54" s="1"/>
    </row>
    <row r="55" spans="1:9" x14ac:dyDescent="0.25">
      <c r="A55" s="1"/>
      <c r="B55" s="120" t="s">
        <v>218</v>
      </c>
      <c r="C55" s="121"/>
      <c r="D55" s="121"/>
      <c r="E55" s="121"/>
      <c r="F55" s="122"/>
      <c r="G55" s="9">
        <f>'Fane 13. Tilknyttet virksomhed'!I53</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7" t="s">
        <v>258</v>
      </c>
      <c r="C58" s="118"/>
      <c r="D58" s="118"/>
      <c r="E58" s="118"/>
      <c r="F58" s="118"/>
      <c r="G58" s="118"/>
      <c r="H58" s="119"/>
      <c r="I58" s="1"/>
    </row>
    <row r="59" spans="1:9" x14ac:dyDescent="0.25">
      <c r="A59" s="1"/>
      <c r="B59" s="120" t="s">
        <v>219</v>
      </c>
      <c r="C59" s="121"/>
      <c r="D59" s="121"/>
      <c r="E59" s="121"/>
      <c r="F59" s="122"/>
      <c r="G59" s="23">
        <f>(G53+G54-G55)*(1+'Fane 15. Nøgletal'!C16)</f>
        <v>43511709.493033476</v>
      </c>
      <c r="H59" s="14" t="s">
        <v>3</v>
      </c>
      <c r="I59" s="1"/>
    </row>
    <row r="60" spans="1:9" x14ac:dyDescent="0.25">
      <c r="A60" s="1"/>
      <c r="B60" s="120" t="s">
        <v>220</v>
      </c>
      <c r="C60" s="121"/>
      <c r="D60" s="121"/>
      <c r="E60" s="121"/>
      <c r="F60" s="122"/>
      <c r="G60" s="9">
        <f>'Fane 13. Tilknyttet virksomhed'!I58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7" t="s">
        <v>141</v>
      </c>
      <c r="C63" s="118"/>
      <c r="D63" s="118"/>
      <c r="E63" s="118"/>
      <c r="F63" s="118"/>
      <c r="G63" s="118"/>
      <c r="H63" s="119"/>
      <c r="I63" s="1"/>
    </row>
    <row r="64" spans="1:9" x14ac:dyDescent="0.25">
      <c r="A64" s="1"/>
      <c r="B64" s="120" t="s">
        <v>221</v>
      </c>
      <c r="C64" s="121"/>
      <c r="D64" s="121"/>
      <c r="E64" s="121"/>
      <c r="F64" s="122"/>
      <c r="G64" s="23">
        <f>(G59-G60)*(1+'Fane 15. Nøgletal'!C16)</f>
        <v>47027455.620070577</v>
      </c>
      <c r="H64" s="14" t="s">
        <v>3</v>
      </c>
      <c r="I64" s="1"/>
    </row>
    <row r="65" spans="1:9" x14ac:dyDescent="0.25">
      <c r="A65" s="1"/>
      <c r="B65" s="120" t="s">
        <v>222</v>
      </c>
      <c r="C65" s="121"/>
      <c r="D65" s="121"/>
      <c r="E65" s="121"/>
      <c r="F65" s="122"/>
      <c r="G65" s="9">
        <f>'Fane 13. Tilknyttet virksomhed'!I63</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7" t="s">
        <v>223</v>
      </c>
      <c r="C68" s="118"/>
      <c r="D68" s="118"/>
      <c r="E68" s="118"/>
      <c r="F68" s="118"/>
      <c r="G68" s="118"/>
      <c r="H68" s="119"/>
      <c r="I68" s="1"/>
    </row>
    <row r="69" spans="1:9" x14ac:dyDescent="0.25">
      <c r="A69" s="1"/>
      <c r="B69" s="120" t="s">
        <v>221</v>
      </c>
      <c r="C69" s="121"/>
      <c r="D69" s="121"/>
      <c r="E69" s="121"/>
      <c r="F69" s="122"/>
      <c r="G69" s="23">
        <f>(G64-G65)*(1+'Fane 15. Nøgletal'!C16)</f>
        <v>50827274.034172282</v>
      </c>
      <c r="H69" s="14" t="s">
        <v>3</v>
      </c>
      <c r="I69" s="1"/>
    </row>
    <row r="70" spans="1:9" x14ac:dyDescent="0.25">
      <c r="A70" s="1"/>
      <c r="B70" s="120" t="s">
        <v>222</v>
      </c>
      <c r="C70" s="121"/>
      <c r="D70" s="121"/>
      <c r="E70" s="121"/>
      <c r="F70" s="122"/>
      <c r="G70" s="9">
        <f>'Fane 13. Tilknyttet virksomhed'!I68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8iGLddij/sxY8wVcBvCxk9WaVpnqwyGaTFxFRiERktQ7hU7TROT+K4jjWPiiIb7JYMWliDWKe+MM7HxgTJJaTw==" saltValue="UmLuRJiar1301xjDID1aNg=="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0" t="s">
        <v>76</v>
      </c>
      <c r="C3" s="110"/>
      <c r="D3" s="110"/>
      <c r="E3" s="110"/>
      <c r="F3" s="110"/>
      <c r="G3" s="110"/>
      <c r="H3" s="1"/>
    </row>
    <row r="4" spans="1:8" ht="15" customHeight="1" x14ac:dyDescent="0.25">
      <c r="A4" s="1"/>
      <c r="B4" s="110"/>
      <c r="C4" s="110"/>
      <c r="D4" s="110"/>
      <c r="E4" s="110"/>
      <c r="F4" s="110"/>
      <c r="G4" s="110"/>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10</v>
      </c>
      <c r="C8" s="118"/>
      <c r="D8" s="118"/>
      <c r="E8" s="118"/>
      <c r="F8" s="118"/>
      <c r="G8" s="119"/>
      <c r="H8" s="1"/>
    </row>
    <row r="9" spans="1:8" x14ac:dyDescent="0.25">
      <c r="A9" s="1"/>
      <c r="B9" s="120" t="s">
        <v>271</v>
      </c>
      <c r="C9" s="121"/>
      <c r="D9" s="121"/>
      <c r="E9" s="121"/>
      <c r="F9" s="122"/>
      <c r="G9" s="22">
        <v>8.1122782718996717E-3</v>
      </c>
      <c r="H9" s="1"/>
    </row>
    <row r="10" spans="1:8" x14ac:dyDescent="0.25">
      <c r="A10" s="1"/>
      <c r="B10" s="33"/>
      <c r="C10" s="28"/>
      <c r="D10" s="28"/>
      <c r="E10" s="28"/>
      <c r="F10" s="28"/>
      <c r="G10" s="19"/>
      <c r="H10" s="1"/>
    </row>
    <row r="11" spans="1:8" ht="33" customHeight="1" x14ac:dyDescent="0.25">
      <c r="A11" s="1"/>
      <c r="B11" s="131" t="s">
        <v>264</v>
      </c>
      <c r="C11" s="131"/>
      <c r="D11" s="131"/>
      <c r="E11" s="131"/>
      <c r="F11" s="131"/>
      <c r="G11" s="131"/>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UyS4WRWZqtRLPmK4sVd4f0UUWgxB4weJyyOvYCrzacUumMa6XSWpT9C11dVv0e5BCxbBNwVMGalnk3Xsw5V+aQ==" saltValue="QjERnlRrlqLE0w6/XWxNVw=="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2024-02-12T13:43:27Z</dcterms:modified>
</cp:coreProperties>
</file>