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jle Spildevand AS (S10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6" i="15" l="1"/>
  <c r="C32" i="2"/>
  <c r="C16" i="19"/>
  <c r="G32" i="36" l="1"/>
  <c r="G24" i="36"/>
  <c r="G31" i="36" s="1"/>
  <c r="G6" i="36"/>
  <c r="G10" i="36" s="1"/>
  <c r="G34" i="30"/>
  <c r="G13" i="36" l="1"/>
  <c r="G17" i="36" s="1"/>
  <c r="G19" i="36" l="1"/>
  <c r="G23" i="36"/>
  <c r="G30" i="36" s="1"/>
  <c r="G34" i="36" l="1"/>
  <c r="E23" i="27" s="1"/>
  <c r="G38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6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C23" i="22" s="1"/>
  <c r="E38" i="39"/>
  <c r="C22" i="23" s="1"/>
  <c r="E14" i="39"/>
  <c r="C27" i="2" s="1"/>
  <c r="C14" i="39"/>
  <c r="C26" i="2" s="1"/>
  <c r="C23" i="23" l="1"/>
  <c r="C24" i="15"/>
  <c r="C28" i="2"/>
  <c r="G26" i="36" l="1"/>
  <c r="G15" i="30"/>
  <c r="G19" i="30" l="1"/>
  <c r="G25" i="30" s="1"/>
  <c r="G21" i="30" l="1"/>
  <c r="G28" i="30"/>
  <c r="G32" i="30"/>
  <c r="F11" i="11" l="1"/>
  <c r="C10" i="37" s="1"/>
  <c r="C12" i="37" s="1"/>
  <c r="C13" i="37" s="1"/>
  <c r="C10" i="2" s="1"/>
  <c r="G11" i="11"/>
  <c r="E11" i="21" l="1"/>
  <c r="C11" i="21"/>
  <c r="E11" i="29"/>
  <c r="C11" i="29"/>
  <c r="C17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2" i="37" s="1"/>
  <c r="E13" i="37" s="1"/>
  <c r="C11" i="2" s="1"/>
  <c r="G39" i="36" s="1"/>
  <c r="G40" i="30"/>
  <c r="G42" i="30" s="1"/>
  <c r="G46" i="30" s="1"/>
  <c r="G49" i="30" s="1"/>
  <c r="E22" i="27"/>
  <c r="E24" i="27" s="1"/>
  <c r="G40" i="36" l="1"/>
  <c r="C19" i="2" s="1"/>
  <c r="G45" i="36"/>
  <c r="C18" i="2"/>
  <c r="E35" i="27"/>
  <c r="C9" i="2"/>
  <c r="C14" i="15"/>
  <c r="G44" i="36"/>
  <c r="G47" i="36" s="1"/>
  <c r="C16" i="2" l="1"/>
  <c r="C17" i="2" s="1"/>
  <c r="G52" i="36"/>
  <c r="G54" i="30"/>
  <c r="C20" i="2" l="1"/>
  <c r="C35" i="2" s="1"/>
  <c r="G54" i="36"/>
  <c r="C14" i="2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<sst xmlns="http://schemas.openxmlformats.org/spreadsheetml/2006/main" count="719" uniqueCount="290">
  <si>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</si>
  <si>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</si>
  <si>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</si>
  <si>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</si>
  <si>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</si>
  <si>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</si>
  <si>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</si>
  <si>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</si>
  <si>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</si>
  <si>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</si>
  <si>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</si>
  <si>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</si>
  <si>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</si>
  <si>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</si>
  <si>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</si>
  <si>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</si>
  <si>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</si>
  <si>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</si>
  <si>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</si>
  <si>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</si>
  <si>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</si>
  <si>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</si>
  <si>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</si>
  <si>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</si>
  <si>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</si>
  <si>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</si>
  <si>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</si>
  <si>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</si>
  <si>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</si>
  <si>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</si>
  <si>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</si>
  <si>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</si>
  <si>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</si>
  <si>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</si>
  <si>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</si>
  <si>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</si>
  <si>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</si>
  <si>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</si>
  <si>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</si>
  <si>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</si>
  <si>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</si>
  <si>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</si>
  <si>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</si>
  <si>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</si>
  <si>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</si>
  <si>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</si>
  <si>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</si>
  <si>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</si>
  <si>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</si>
  <si>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</si>
  <si>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</si>
  <si>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</si>
  <si>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</si>
  <si>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</si>
  <si>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</si>
  <si>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</si>
  <si>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</si>
  <si>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</si>
  <si>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</si>
  <si>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</si>
  <si>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</si>
  <si>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</si>
  <si>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</si>
  <si>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</si>
  <si>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</si>
  <si>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</si>
  <si>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</si>
  <si>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</si>
  <si>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</si>
  <si>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</si>
  <si>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</si>
  <si>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</si>
  <si>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</si>
  <si>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</si>
  <si>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</si>
  <si>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</si>
  <si>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</si>
  <si>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</si>
  <si>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</si>
  <si>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</si>
  <si>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</si>
  <si>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</si>
  <si>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</si>
  <si>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</si>
  <si>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</si>
  <si>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</si>
  <si>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</si>
  <si>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</si>
  <si>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</si>
  <si>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</si>
  <si>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</si>
  <si>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</si>
  <si>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</si>
  <si>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</si>
  <si>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</si>
  <si>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</si>
  <si>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</si>
  <si>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</si>
  <si>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</si>
  <si>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</si>
  <si>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</si>
  <si>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</si>
  <si>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</si>
  <si>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</si>
  <si>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</si>
  <si>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</si>
  <si>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</si>
  <si>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</si>
  <si>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</si>
  <si>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</si>
  <si>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</si>
  <si>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</si>
  <si>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</si>
  <si>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</si>
  <si>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</si>
  <si>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</si>
  <si>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</si>
  <si>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</si>
  <si>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</si>
  <si>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</si>
  <si>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</si>
  <si>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</si>
  <si>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</si>
  <si>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</si>
  <si>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</si>
  <si>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</si>
  <si>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</si>
  <si>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</si>
  <si>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</si>
  <si>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</si>
  <si>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</si>
  <si>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</si>
  <si>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</si>
  <si>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</si>
  <si>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</si>
  <si>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</si>
  <si>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</si>
  <si>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</si>
  <si>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</si>
  <si>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</si>
  <si>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</si>
  <si>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</si>
  <si>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</si>
  <si>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</si>
  <si>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</si>
  <si>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</si>
  <si>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</si>
  <si>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</si>
  <si>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</si>
  <si>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</si>
  <si>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</si>
  <si>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</si>
  <si>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</si>
  <si>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</si>
  <si>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</si>
  <si>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</si>
  <si>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</si>
  <si>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</si>
  <si>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</si>
  <si>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</si>
  <si>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</si>
  <si>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</si>
  <si>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</si>
  <si>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</si>
  <si>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</si>
  <si>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</si>
  <si>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</si>
  <si>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</si>
  <si>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</si>
  <si>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</si>
  <si>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</si>
  <si>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</si>
  <si>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</si>
  <si>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</si>
  <si>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</si>
  <si>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</si>
  <si>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</si>
  <si>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</si>
  <si>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</si>
  <si>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</si>
  <si>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</si>
  <si>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</si>
  <si>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</si>
  <si>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</si>
  <si>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</si>
  <si>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</si>
  <si>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</si>
  <si>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</si>
  <si>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</si>
  <si>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</si>
  <si>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</si>
  <si>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</si>
  <si>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</si>
  <si>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</si>
  <si>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</si>
  <si>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</si>
  <si>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</si>
  <si>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</si>
  <si>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</si>
  <si>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</si>
  <si>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</si>
  <si>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</si>
  <si>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</si>
  <si>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</si>
  <si>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</si>
  <si>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</si>
  <si>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</si>
  <si>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</si>
  <si>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</si>
  <si>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</si>
  <si>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</si>
  <si>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</si>
  <si>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</si>
  <si>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</si>
  <si>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</si>
  <si>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</si>
  <si>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</si>
  <si>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</si>
  <si>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</si>
  <si>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</si>
  <si>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</si>
  <si>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</si>
  <si>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</si>
  <si>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</si>
  <si>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</si>
  <si>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</si>
  <si>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</si>
  <si>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</si>
  <si>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</si>
  <si>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</si>
  <si>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</si>
  <si>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</si>
  <si>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</si>
  <si>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</si>
  <si>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</si>
  <si>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</si>
  <si>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</si>
  <si>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</si>
  <si>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</si>
  <si>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</si>
  <si>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</si>
  <si>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</si>
  <si>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</si>
  <si>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</si>
  <si>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</si>
  <si>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</si>
  <si>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</si>
  <si>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</si>
  <si>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</si>
  <si>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</si>
  <si>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</si>
  <si>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</si>
  <si>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</si>
  <si>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</si>
  <si>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</si>
  <si>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</si>
  <si>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</si>
  <si>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</si>
  <si>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</si>
  <si>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</si>
  <si>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</si>
  <si>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</si>
  <si>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</si>
  <si>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</si>
  <si>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</si>
  <si>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</si>
  <si>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</si>
  <si>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</si>
  <si>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</si>
  <si>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</si>
  <si>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</si>
  <si>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</si>
  <si>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Betalinger til projekters medfinansiering under ØR-bekendtgørelsen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</si>
  <si>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</si>
  <si>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</si>
  <si>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</si>
  <si>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</si>
  <si>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</si>
  <si>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</si>
  <si>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</si>
  <si>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</si>
  <si>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</si>
  <si>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</si>
  <si>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</si>
  <si>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</si>
  <si>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</si>
  <si>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Ingen anlægsprojekter</t>
  </si>
  <si>
    <t>Udvidelse af forsyningsområde</t>
  </si>
  <si>
    <t>Ingen engangstillæg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</si>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</sst>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9" t="s">
        <v>174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175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17</v>
      </c>
      <c r="D14" s="70" t="s">
        <v>176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37</v>
      </c>
      <c r="D15" s="70" t="s">
        <v>136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38</v>
      </c>
      <c r="D16" s="70" t="s">
        <v>177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132</v>
      </c>
      <c r="D17" s="70" t="s">
        <v>178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110</v>
      </c>
      <c r="D18" s="73" t="s">
        <v>94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111</v>
      </c>
      <c r="D19" s="73" t="s">
        <v>95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112</v>
      </c>
      <c r="D21" s="79" t="s">
        <v>13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75</v>
      </c>
      <c r="D22" s="65" t="s">
        <v>179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180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39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113</v>
      </c>
      <c r="D25" s="65" t="s">
        <v>76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114</v>
      </c>
      <c r="D26" s="65" t="s">
        <v>77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115</v>
      </c>
      <c r="D27" s="65" t="s">
        <v>78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16</v>
      </c>
      <c r="D28" s="65" t="s">
        <v>135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41</v>
      </c>
      <c r="D29" s="65" t="s">
        <v>40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42</v>
      </c>
      <c r="D30" s="76" t="s">
        <v>108</v>
      </c>
      <c r="E30" s="77"/>
      <c r="F30" s="77"/>
      <c r="G30" s="7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ZH4YU7Y5aW9DvPlho8r1LxoHanvWfYNeRZSsp0aQC9FAyGJrD7r5ZmfKJ/bDrO3LsrN1cAFdEtjBDluJssRMA==" saltValue="vPVy67bSATgMNyzEN+O9Zw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2" t="s">
        <v>119</v>
      </c>
      <c r="C3" s="82"/>
      <c r="D3" s="82"/>
      <c r="E3" s="1"/>
      <c r="F3" s="1"/>
    </row>
    <row r="4" spans="1:6" ht="15" customHeight="1" x14ac:dyDescent="0.25">
      <c r="A4" s="1"/>
      <c r="B4" s="82"/>
      <c r="C4" s="82"/>
      <c r="D4" s="8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197</v>
      </c>
      <c r="C8" s="113"/>
      <c r="D8" s="114"/>
      <c r="E8" s="1"/>
      <c r="F8" s="1"/>
    </row>
    <row r="9" spans="1:6" ht="15" customHeight="1" x14ac:dyDescent="0.25">
      <c r="A9" s="1"/>
      <c r="B9" s="44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9" t="s">
        <v>267</v>
      </c>
      <c r="C10" s="9">
        <v>2701451</v>
      </c>
      <c r="D10" s="14" t="s">
        <v>3</v>
      </c>
      <c r="E10" s="1"/>
      <c r="F10" s="1"/>
    </row>
    <row r="11" spans="1:6" ht="15" customHeight="1" x14ac:dyDescent="0.25">
      <c r="A11" s="1"/>
      <c r="B11" s="59" t="s">
        <v>268</v>
      </c>
      <c r="C11" s="9">
        <v>146218</v>
      </c>
      <c r="D11" s="14" t="s">
        <v>3</v>
      </c>
      <c r="E11" s="1"/>
      <c r="F11" s="1"/>
    </row>
    <row r="12" spans="1:6" ht="15" customHeight="1" x14ac:dyDescent="0.25">
      <c r="A12" s="1"/>
      <c r="B12" s="59" t="s">
        <v>269</v>
      </c>
      <c r="C12" s="9">
        <v>528113</v>
      </c>
      <c r="D12" s="14" t="s">
        <v>3</v>
      </c>
      <c r="E12" s="1"/>
      <c r="F12" s="1"/>
    </row>
    <row r="13" spans="1:6" x14ac:dyDescent="0.25">
      <c r="A13" s="1"/>
      <c r="B13" s="59" t="s">
        <v>270</v>
      </c>
      <c r="C13" s="9">
        <v>352098</v>
      </c>
      <c r="D13" s="14" t="s">
        <v>3</v>
      </c>
      <c r="E13" s="1"/>
      <c r="F13" s="1"/>
    </row>
    <row r="14" spans="1:6" x14ac:dyDescent="0.25">
      <c r="A14" s="1"/>
      <c r="B14" s="59" t="s">
        <v>271</v>
      </c>
      <c r="C14" s="9">
        <v>269278</v>
      </c>
      <c r="D14" s="14" t="s">
        <v>3</v>
      </c>
      <c r="E14" s="1"/>
      <c r="F14" s="1"/>
    </row>
    <row r="15" spans="1:6" x14ac:dyDescent="0.25">
      <c r="A15" s="1"/>
      <c r="B15" s="59" t="s">
        <v>272</v>
      </c>
      <c r="C15" s="9">
        <v>2165042</v>
      </c>
      <c r="D15" s="14" t="s">
        <v>3</v>
      </c>
      <c r="E15" s="1"/>
      <c r="F15" s="1"/>
    </row>
    <row r="16" spans="1:6" x14ac:dyDescent="0.25">
      <c r="A16" s="1"/>
      <c r="B16" s="35" t="s">
        <v>199</v>
      </c>
      <c r="C16" s="12">
        <f>SUM(C10:C15)</f>
        <v>6162200</v>
      </c>
      <c r="D16" s="13" t="s">
        <v>3</v>
      </c>
      <c r="E16" s="1"/>
      <c r="F16" s="1"/>
    </row>
    <row r="17" spans="1:6" x14ac:dyDescent="0.25">
      <c r="A17" s="1"/>
      <c r="B17" s="35" t="s">
        <v>200</v>
      </c>
      <c r="C17" s="12">
        <f>C16*(1+'Fane 14. Nøgletal'!C14)^2</f>
        <v>6202937.6263580006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12" t="s">
        <v>128</v>
      </c>
      <c r="C20" s="113"/>
      <c r="D20" s="114"/>
      <c r="E20" s="1"/>
      <c r="F20" s="1"/>
    </row>
    <row r="21" spans="1:6" x14ac:dyDescent="0.25">
      <c r="A21" s="1"/>
      <c r="B21" s="59" t="s">
        <v>100</v>
      </c>
      <c r="C21" s="9">
        <v>2388553</v>
      </c>
      <c r="D21" s="14" t="s">
        <v>3</v>
      </c>
      <c r="E21" s="1"/>
      <c r="F21" s="1"/>
    </row>
    <row r="22" spans="1:6" x14ac:dyDescent="0.25">
      <c r="A22" s="1"/>
      <c r="B22" s="59" t="s">
        <v>101</v>
      </c>
      <c r="C22" s="9">
        <v>2398891</v>
      </c>
      <c r="D22" s="14" t="s">
        <v>3</v>
      </c>
      <c r="E22" s="1"/>
      <c r="F22" s="1"/>
    </row>
    <row r="23" spans="1:6" x14ac:dyDescent="0.25">
      <c r="A23" s="1"/>
      <c r="B23" s="59" t="s">
        <v>141</v>
      </c>
      <c r="C23" s="9">
        <v>2409436</v>
      </c>
      <c r="D23" s="14" t="s">
        <v>3</v>
      </c>
      <c r="E23" s="1"/>
      <c r="F23" s="1"/>
    </row>
    <row r="24" spans="1:6" x14ac:dyDescent="0.25">
      <c r="A24" s="1"/>
      <c r="B24" s="59" t="s">
        <v>201</v>
      </c>
      <c r="C24" s="9">
        <v>2420191</v>
      </c>
      <c r="D24" s="14" t="s">
        <v>3</v>
      </c>
      <c r="E24" s="1"/>
      <c r="F24" s="1"/>
    </row>
    <row r="25" spans="1:6" x14ac:dyDescent="0.25">
      <c r="A25" s="1"/>
      <c r="B25" s="112"/>
      <c r="C25" s="113"/>
      <c r="D25" s="114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12" t="s">
        <v>99</v>
      </c>
      <c r="C28" s="113"/>
      <c r="D28" s="114"/>
      <c r="E28" s="1"/>
      <c r="F28" s="1"/>
    </row>
    <row r="29" spans="1:6" x14ac:dyDescent="0.25">
      <c r="A29" s="1"/>
      <c r="B29" s="59" t="s">
        <v>100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9" t="s">
        <v>101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9" t="s">
        <v>141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9" t="s">
        <v>201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112"/>
      <c r="C33" s="113"/>
      <c r="D33" s="114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1dvObJ1TzkZ4VMacgIWhlDGQf5YvdY+BStIr11dOWWnWy+hOQRYJo+XsjELxU7au33/nI8SyFzkhPMNgaEjZg==" saltValue="8my+IS3NHPk0mFWkleUAM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202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274</v>
      </c>
      <c r="C8" s="113"/>
      <c r="D8" s="113"/>
      <c r="E8" s="113"/>
      <c r="F8" s="114"/>
      <c r="G8" s="1"/>
    </row>
    <row r="9" spans="1:7" x14ac:dyDescent="0.25">
      <c r="A9" s="1"/>
      <c r="B9" s="106" t="s">
        <v>275</v>
      </c>
      <c r="C9" s="107"/>
      <c r="D9" s="108"/>
      <c r="E9" s="9">
        <v>9337800.8109625578</v>
      </c>
      <c r="F9" s="14" t="s">
        <v>3</v>
      </c>
      <c r="G9" s="1"/>
    </row>
    <row r="10" spans="1:7" x14ac:dyDescent="0.25">
      <c r="A10" s="1"/>
      <c r="B10" s="106" t="s">
        <v>276</v>
      </c>
      <c r="C10" s="107"/>
      <c r="D10" s="108"/>
      <c r="E10" s="9">
        <v>5032897.5641316175</v>
      </c>
      <c r="F10" s="14" t="s">
        <v>3</v>
      </c>
      <c r="G10" s="1"/>
    </row>
    <row r="11" spans="1:7" x14ac:dyDescent="0.25">
      <c r="A11" s="1"/>
      <c r="B11" s="106" t="s">
        <v>277</v>
      </c>
      <c r="C11" s="107"/>
      <c r="D11" s="108"/>
      <c r="E11" s="9">
        <v>-5315755.1463574767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94" t="s">
        <v>278</v>
      </c>
      <c r="C13" s="95"/>
      <c r="D13" s="95"/>
      <c r="E13" s="95"/>
      <c r="F13" s="96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279</v>
      </c>
      <c r="C15" s="113"/>
      <c r="D15" s="113"/>
      <c r="E15" s="113"/>
      <c r="F15" s="114"/>
      <c r="G15" s="1"/>
    </row>
    <row r="16" spans="1:7" x14ac:dyDescent="0.25">
      <c r="A16" s="1"/>
      <c r="B16" s="106" t="s">
        <v>280</v>
      </c>
      <c r="C16" s="107"/>
      <c r="D16" s="108"/>
      <c r="E16" s="9">
        <v>0</v>
      </c>
      <c r="F16" s="14" t="s">
        <v>3</v>
      </c>
      <c r="G16" s="1"/>
    </row>
    <row r="17" spans="1:7" x14ac:dyDescent="0.25">
      <c r="A17" s="1"/>
      <c r="B17" s="106" t="s">
        <v>281</v>
      </c>
      <c r="C17" s="107"/>
      <c r="D17" s="108"/>
      <c r="E17" s="9">
        <v>0</v>
      </c>
      <c r="F17" s="14" t="s">
        <v>3</v>
      </c>
      <c r="G17" s="1"/>
    </row>
    <row r="18" spans="1:7" x14ac:dyDescent="0.25">
      <c r="A18" s="1"/>
      <c r="B18" s="35"/>
      <c r="C18" s="36"/>
      <c r="D18" s="36"/>
      <c r="E18" s="36"/>
      <c r="F18" s="20"/>
      <c r="G18" s="1"/>
    </row>
    <row r="19" spans="1:7" ht="31.5" customHeight="1" x14ac:dyDescent="0.25">
      <c r="A19" s="1"/>
      <c r="B19" s="94" t="s">
        <v>282</v>
      </c>
      <c r="C19" s="95"/>
      <c r="D19" s="95"/>
      <c r="E19" s="95"/>
      <c r="F19" s="9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3" t="s">
        <v>240</v>
      </c>
      <c r="C21" s="54"/>
      <c r="D21" s="54"/>
      <c r="E21" s="54"/>
      <c r="F21" s="55"/>
      <c r="G21" s="1"/>
    </row>
    <row r="22" spans="1:7" x14ac:dyDescent="0.25">
      <c r="A22" s="1"/>
      <c r="B22" s="56" t="s">
        <v>241</v>
      </c>
      <c r="C22" s="57"/>
      <c r="D22" s="58"/>
      <c r="E22" s="9">
        <v>205838906.12139753</v>
      </c>
      <c r="F22" s="14" t="s">
        <v>3</v>
      </c>
      <c r="G22" s="1"/>
    </row>
    <row r="23" spans="1:7" x14ac:dyDescent="0.25">
      <c r="A23" s="1"/>
      <c r="B23" s="56" t="s">
        <v>242</v>
      </c>
      <c r="C23" s="57"/>
      <c r="D23" s="58"/>
      <c r="E23" s="9">
        <v>242614912</v>
      </c>
      <c r="F23" s="14" t="s">
        <v>3</v>
      </c>
      <c r="G23" s="1"/>
    </row>
    <row r="24" spans="1:7" x14ac:dyDescent="0.25">
      <c r="A24" s="1"/>
      <c r="B24" s="56" t="s">
        <v>36</v>
      </c>
      <c r="C24" s="57"/>
      <c r="D24" s="58"/>
      <c r="E24" s="9">
        <v>175000</v>
      </c>
      <c r="F24" s="14" t="s">
        <v>3</v>
      </c>
      <c r="G24" s="1"/>
    </row>
    <row r="25" spans="1:7" x14ac:dyDescent="0.25">
      <c r="A25" s="1"/>
      <c r="B25" s="47" t="s">
        <v>283</v>
      </c>
      <c r="C25" s="48"/>
      <c r="D25" s="49"/>
      <c r="E25" s="38">
        <f>E22-(E23-E24)</f>
        <v>-36601005.878602475</v>
      </c>
      <c r="F25" s="17" t="s">
        <v>3</v>
      </c>
      <c r="G25" s="1"/>
    </row>
    <row r="26" spans="1:7" x14ac:dyDescent="0.25">
      <c r="A26" s="1"/>
      <c r="B26" s="35"/>
      <c r="C26" s="36"/>
      <c r="D26" s="36"/>
      <c r="E26" s="36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169</v>
      </c>
      <c r="C29" s="113"/>
      <c r="D29" s="113"/>
      <c r="E29" s="113"/>
      <c r="F29" s="114"/>
      <c r="G29" s="1"/>
    </row>
    <row r="30" spans="1:7" x14ac:dyDescent="0.25">
      <c r="A30" s="1"/>
      <c r="B30" s="123" t="s">
        <v>170</v>
      </c>
      <c r="C30" s="124"/>
      <c r="D30" s="125"/>
      <c r="E30" s="9">
        <f>IF(AND(E9&lt;0,SUM(E10:E11,E25)&gt;0),E9,IF(AND(E9&lt;0,SUM(E10:E11,E25)&lt;0),E9+SUM(E10:E11,E25),IF(AND(E9&gt;0,SUM(E9:E11,E25)&gt;0),0,IF(AND(E9&gt;0,SUM(E9:E11,E25)&lt;0),SUM(E9:E11,E25)))))</f>
        <v>-27546062.649865776</v>
      </c>
      <c r="F30" s="14" t="s">
        <v>3</v>
      </c>
      <c r="G30" s="1"/>
    </row>
    <row r="31" spans="1:7" x14ac:dyDescent="0.25">
      <c r="A31" s="1"/>
      <c r="B31" s="123" t="s">
        <v>104</v>
      </c>
      <c r="C31" s="124"/>
      <c r="D31" s="125"/>
      <c r="E31" s="9">
        <v>2</v>
      </c>
      <c r="F31" s="14" t="s">
        <v>21</v>
      </c>
      <c r="G31" s="1"/>
    </row>
    <row r="32" spans="1:7" x14ac:dyDescent="0.25">
      <c r="A32" s="1"/>
      <c r="B32" s="126" t="s">
        <v>172</v>
      </c>
      <c r="C32" s="126"/>
      <c r="D32" s="126"/>
      <c r="E32" s="10">
        <f>E30/E31</f>
        <v>-13773031.324932888</v>
      </c>
      <c r="F32" s="17" t="s">
        <v>3</v>
      </c>
      <c r="G32" s="1"/>
    </row>
    <row r="33" spans="1:7" x14ac:dyDescent="0.25">
      <c r="A33" s="1"/>
      <c r="B33" s="120"/>
      <c r="C33" s="121"/>
      <c r="D33" s="121"/>
      <c r="E33" s="121"/>
      <c r="F33" s="122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trKL8El45fbl548gtl63NuQKYKoP8yT2gvbIkFCvKCiBEEksVav4dCZWFLef/uWtp8X5SYE2+gVdnrJ5oPkqxw==" saltValue="UOBQ8bxOjBWNY6z/pdZzM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203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2" t="s">
        <v>204</v>
      </c>
      <c r="C9" s="113"/>
      <c r="D9" s="113"/>
      <c r="E9" s="113"/>
      <c r="F9" s="113"/>
      <c r="G9" s="1"/>
    </row>
    <row r="10" spans="1:7" x14ac:dyDescent="0.25">
      <c r="A10" s="1"/>
      <c r="B10" s="94" t="s">
        <v>102</v>
      </c>
      <c r="C10" s="95"/>
      <c r="D10" s="96"/>
      <c r="E10" s="7">
        <v>0</v>
      </c>
      <c r="F10" s="8" t="s">
        <v>3</v>
      </c>
      <c r="G10" s="1"/>
    </row>
    <row r="11" spans="1:7" x14ac:dyDescent="0.25">
      <c r="A11" s="1"/>
      <c r="B11" s="106" t="s">
        <v>205</v>
      </c>
      <c r="C11" s="107"/>
      <c r="D11" s="108"/>
      <c r="E11" s="7">
        <v>0</v>
      </c>
      <c r="F11" s="8" t="s">
        <v>3</v>
      </c>
      <c r="G11" s="1"/>
    </row>
    <row r="12" spans="1:7" x14ac:dyDescent="0.25">
      <c r="A12" s="1"/>
      <c r="B12" s="103" t="s">
        <v>103</v>
      </c>
      <c r="C12" s="104"/>
      <c r="D12" s="105"/>
      <c r="E12" s="10">
        <f>E11-E10</f>
        <v>0</v>
      </c>
      <c r="F12" s="11" t="s">
        <v>3</v>
      </c>
      <c r="G12" s="1"/>
    </row>
    <row r="13" spans="1:7" x14ac:dyDescent="0.25">
      <c r="A13" s="1"/>
      <c r="B13" s="112" t="s">
        <v>93</v>
      </c>
      <c r="C13" s="113"/>
      <c r="D13" s="113"/>
      <c r="E13" s="113"/>
      <c r="F13" s="113"/>
      <c r="G13" s="1"/>
    </row>
    <row r="14" spans="1:7" x14ac:dyDescent="0.25">
      <c r="A14" s="1"/>
      <c r="B14" s="106" t="s">
        <v>206</v>
      </c>
      <c r="C14" s="107"/>
      <c r="D14" s="108"/>
      <c r="E14" s="9">
        <v>2368480</v>
      </c>
      <c r="F14" s="8" t="s">
        <v>3</v>
      </c>
      <c r="G14" s="1"/>
    </row>
    <row r="15" spans="1:7" x14ac:dyDescent="0.25">
      <c r="A15" s="1"/>
      <c r="B15" s="94" t="s">
        <v>207</v>
      </c>
      <c r="C15" s="95"/>
      <c r="D15" s="96"/>
      <c r="E15" s="9">
        <v>2322692</v>
      </c>
      <c r="F15" s="8" t="s">
        <v>3</v>
      </c>
      <c r="G15" s="1"/>
    </row>
    <row r="16" spans="1:7" x14ac:dyDescent="0.25">
      <c r="A16" s="1"/>
      <c r="B16" s="103" t="s">
        <v>103</v>
      </c>
      <c r="C16" s="104"/>
      <c r="D16" s="105"/>
      <c r="E16" s="10">
        <f>E15-E14</f>
        <v>-45788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-45788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yNKC6HhRYnSWo/u4ua2HMaFdglE0ILHxOmQ5TfAOSork8Nwpk/9NMgUf09W/X277U5AkvsnOCwIZkvp7QrjPg==" saltValue="sv6klTD8Bu76sbcUbk91M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155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156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3"/>
      <c r="I9" s="1"/>
    </row>
    <row r="10" spans="1:9" x14ac:dyDescent="0.25">
      <c r="A10" s="1"/>
      <c r="B10" s="61" t="s">
        <v>286</v>
      </c>
      <c r="C10" s="3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157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P65mdQhg1IVng5Shgyp96KvLllRaxmDXptGbbRZBZmsZWV0ejq2HWBds6zzSY40hgVrT2FBmGyn6LZhqEWcTQ==" saltValue="nDSAODJJJLFIaKYcRC0oM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118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1" t="s">
        <v>18</v>
      </c>
      <c r="C9" s="41" t="s">
        <v>12</v>
      </c>
      <c r="D9" s="42"/>
      <c r="E9" s="41" t="s">
        <v>34</v>
      </c>
      <c r="F9" s="63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287</v>
      </c>
      <c r="C11" s="22">
        <v>1534565</v>
      </c>
      <c r="D11" s="14" t="s">
        <v>3</v>
      </c>
      <c r="E11" s="9">
        <v>550523</v>
      </c>
      <c r="F11" s="14" t="s">
        <v>3</v>
      </c>
      <c r="G11" s="1"/>
    </row>
    <row r="12" spans="1:7" x14ac:dyDescent="0.25">
      <c r="A12" s="1"/>
      <c r="B12" s="35" t="s">
        <v>142</v>
      </c>
      <c r="C12" s="12">
        <f>SUM(C10:C11)</f>
        <v>1534565</v>
      </c>
      <c r="D12" s="13" t="s">
        <v>3</v>
      </c>
      <c r="E12" s="12">
        <f>SUM(E10:E11)</f>
        <v>550523</v>
      </c>
      <c r="F12" s="13" t="s">
        <v>3</v>
      </c>
      <c r="G12" s="1"/>
    </row>
    <row r="13" spans="1:7" x14ac:dyDescent="0.25">
      <c r="A13" s="1"/>
      <c r="B13" s="35" t="s">
        <v>209</v>
      </c>
      <c r="C13" s="12">
        <f>C12*(1+'Fane 14. Nøgletal'!C14)</f>
        <v>1539629.0645000001</v>
      </c>
      <c r="D13" s="13" t="s">
        <v>3</v>
      </c>
      <c r="E13" s="12">
        <f>E12*(1+'Fane 14. Nøgletal'!C14)</f>
        <v>552339.72590000008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SAZv9n2hkXq/xRJw8pJqERrovAmXmk8ad9t5BCPHm6E9/SVuM98j+iaLqekEF6h3ZtdFmZmk+IfTdcQZDg93g==" saltValue="zJcZVdjCtz6rNlBl970v8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117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96</v>
      </c>
      <c r="C8" s="113"/>
      <c r="D8" s="113"/>
      <c r="E8" s="113"/>
      <c r="F8" s="114"/>
      <c r="G8" s="1"/>
    </row>
    <row r="9" spans="1:7" x14ac:dyDescent="0.25">
      <c r="A9" s="1"/>
      <c r="B9" s="41" t="s">
        <v>18</v>
      </c>
      <c r="C9" s="41" t="s">
        <v>12</v>
      </c>
      <c r="D9" s="42"/>
      <c r="E9" s="41" t="s">
        <v>34</v>
      </c>
      <c r="F9" s="63"/>
      <c r="G9" s="1"/>
    </row>
    <row r="10" spans="1:7" x14ac:dyDescent="0.25">
      <c r="A10" s="1"/>
      <c r="B10" s="25" t="s">
        <v>288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5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97</v>
      </c>
      <c r="C16" s="113"/>
      <c r="D16" s="113"/>
      <c r="E16" s="113"/>
      <c r="F16" s="114"/>
      <c r="G16" s="1"/>
    </row>
    <row r="17" spans="1:7" x14ac:dyDescent="0.25">
      <c r="A17" s="1"/>
      <c r="B17" s="41" t="s">
        <v>18</v>
      </c>
      <c r="C17" s="41" t="s">
        <v>12</v>
      </c>
      <c r="D17" s="42"/>
      <c r="E17" s="41" t="s">
        <v>34</v>
      </c>
      <c r="F17" s="63"/>
      <c r="G17" s="1"/>
    </row>
    <row r="18" spans="1:7" x14ac:dyDescent="0.25">
      <c r="A18" s="1"/>
      <c r="B18" s="25" t="s">
        <v>288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144</v>
      </c>
      <c r="C24" s="113"/>
      <c r="D24" s="113"/>
      <c r="E24" s="113"/>
      <c r="F24" s="114"/>
      <c r="G24" s="1"/>
    </row>
    <row r="25" spans="1:7" x14ac:dyDescent="0.25">
      <c r="A25" s="1"/>
      <c r="B25" s="41" t="s">
        <v>18</v>
      </c>
      <c r="C25" s="41" t="s">
        <v>12</v>
      </c>
      <c r="D25" s="42"/>
      <c r="E25" s="41" t="s">
        <v>34</v>
      </c>
      <c r="F25" s="63"/>
      <c r="G25" s="1"/>
    </row>
    <row r="26" spans="1:7" x14ac:dyDescent="0.25">
      <c r="A26" s="1"/>
      <c r="B26" s="25" t="s">
        <v>288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41" t="s">
        <v>18</v>
      </c>
      <c r="C33" s="41" t="s">
        <v>12</v>
      </c>
      <c r="D33" s="42"/>
      <c r="E33" s="41" t="s">
        <v>34</v>
      </c>
      <c r="F33" s="63"/>
      <c r="G33" s="1"/>
    </row>
    <row r="34" spans="1:7" x14ac:dyDescent="0.25">
      <c r="A34" s="1"/>
      <c r="B34" s="25" t="s">
        <v>288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5D+1We/uf0vZd63932Ewqrx+ZUyQVFI13Vl+463cRf6enbLL9A81Fk/waGuFm/MvrxGYXR5bV8KoflnN1WvdQ==" saltValue="1rXsduJtguqqwjk5jj+Cv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87</v>
      </c>
      <c r="C8" s="113"/>
      <c r="D8" s="113"/>
      <c r="E8" s="113"/>
      <c r="F8" s="114"/>
      <c r="G8" s="1"/>
    </row>
    <row r="9" spans="1:7" x14ac:dyDescent="0.25">
      <c r="A9" s="1"/>
      <c r="B9" s="127" t="s">
        <v>215</v>
      </c>
      <c r="C9" s="128"/>
      <c r="D9" s="129"/>
      <c r="E9" s="9">
        <v>0</v>
      </c>
      <c r="F9" s="14" t="s">
        <v>3</v>
      </c>
      <c r="G9" s="1"/>
    </row>
    <row r="10" spans="1:7" x14ac:dyDescent="0.25">
      <c r="A10" s="1"/>
      <c r="B10" s="91" t="s">
        <v>10</v>
      </c>
      <c r="C10" s="92"/>
      <c r="D10" s="93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1" t="s">
        <v>27</v>
      </c>
      <c r="C11" s="92"/>
      <c r="D11" s="93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2" t="s">
        <v>89</v>
      </c>
      <c r="C12" s="113"/>
      <c r="D12" s="114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2" t="s">
        <v>88</v>
      </c>
      <c r="C14" s="113"/>
      <c r="D14" s="113"/>
      <c r="E14" s="113"/>
      <c r="F14" s="114"/>
      <c r="G14" s="1"/>
    </row>
    <row r="15" spans="1:7" x14ac:dyDescent="0.25">
      <c r="A15" s="1"/>
      <c r="B15" s="127" t="s">
        <v>215</v>
      </c>
      <c r="C15" s="128"/>
      <c r="D15" s="129"/>
      <c r="E15" s="9">
        <v>0</v>
      </c>
      <c r="F15" s="14" t="s">
        <v>3</v>
      </c>
      <c r="G15" s="1"/>
    </row>
    <row r="16" spans="1:7" x14ac:dyDescent="0.25">
      <c r="A16" s="1"/>
      <c r="B16" s="91" t="s">
        <v>10</v>
      </c>
      <c r="C16" s="92"/>
      <c r="D16" s="93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1" t="s">
        <v>27</v>
      </c>
      <c r="C17" s="92"/>
      <c r="D17" s="93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2" t="s">
        <v>90</v>
      </c>
      <c r="C18" s="113"/>
      <c r="D18" s="114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2" t="s">
        <v>145</v>
      </c>
      <c r="C20" s="113"/>
      <c r="D20" s="113"/>
      <c r="E20" s="113"/>
      <c r="F20" s="114"/>
      <c r="G20" s="1"/>
    </row>
    <row r="21" spans="1:7" x14ac:dyDescent="0.25">
      <c r="A21" s="1"/>
      <c r="B21" s="127" t="s">
        <v>215</v>
      </c>
      <c r="C21" s="128"/>
      <c r="D21" s="129"/>
      <c r="E21" s="9">
        <v>0</v>
      </c>
      <c r="F21" s="14" t="s">
        <v>3</v>
      </c>
      <c r="G21" s="1"/>
    </row>
    <row r="22" spans="1:7" x14ac:dyDescent="0.25">
      <c r="A22" s="1"/>
      <c r="B22" s="91" t="s">
        <v>10</v>
      </c>
      <c r="C22" s="92"/>
      <c r="D22" s="93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1" t="s">
        <v>27</v>
      </c>
      <c r="C23" s="92"/>
      <c r="D23" s="93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2" t="s">
        <v>146</v>
      </c>
      <c r="C24" s="113"/>
      <c r="D24" s="114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2" t="s">
        <v>216</v>
      </c>
      <c r="C26" s="113"/>
      <c r="D26" s="113"/>
      <c r="E26" s="113"/>
      <c r="F26" s="114"/>
      <c r="G26" s="1"/>
    </row>
    <row r="27" spans="1:7" x14ac:dyDescent="0.25">
      <c r="A27" s="1"/>
      <c r="B27" s="127" t="s">
        <v>215</v>
      </c>
      <c r="C27" s="128"/>
      <c r="D27" s="129"/>
      <c r="E27" s="9">
        <v>0</v>
      </c>
      <c r="F27" s="14" t="s">
        <v>3</v>
      </c>
      <c r="G27" s="1"/>
    </row>
    <row r="28" spans="1:7" x14ac:dyDescent="0.25">
      <c r="A28" s="1"/>
      <c r="B28" s="91" t="s">
        <v>10</v>
      </c>
      <c r="C28" s="92"/>
      <c r="D28" s="93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1" t="s">
        <v>27</v>
      </c>
      <c r="C29" s="92"/>
      <c r="D29" s="93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2" t="s">
        <v>217</v>
      </c>
      <c r="C30" s="113"/>
      <c r="D30" s="114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1/tUCEQFyJvUkUg4Az0La/r8xloC8bZAVdGR5of3yHjhNRfiSp14Ira7/WeWJVWsMcs00FteE9NJSvSHqW3Bw==" saltValue="90+LLD6dbo0P/EmBQ5hIxw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147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148</v>
      </c>
      <c r="C8" s="113"/>
      <c r="D8" s="113"/>
      <c r="E8" s="113"/>
      <c r="F8" s="114"/>
      <c r="G8" s="1"/>
    </row>
    <row r="9" spans="1:7" ht="15" customHeight="1" x14ac:dyDescent="0.25">
      <c r="A9" s="1"/>
      <c r="B9" s="62" t="s">
        <v>149</v>
      </c>
      <c r="C9" s="97" t="s">
        <v>12</v>
      </c>
      <c r="D9" s="99"/>
      <c r="E9" s="130" t="s">
        <v>34</v>
      </c>
      <c r="F9" s="131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0xnuesiNrY7dbGe+pobeMoCKpmiM2htZBvLXvqYEOV4k9i3Fiu8gjzEfJozM7z/2Cv0jMgNQsWzcjKcVTitZg==" saltValue="zMzqwvIZTk9N1j67h0Nju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116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91</v>
      </c>
      <c r="C8" s="113"/>
      <c r="D8" s="113"/>
      <c r="E8" s="113"/>
      <c r="F8" s="114"/>
      <c r="G8" s="1"/>
    </row>
    <row r="9" spans="1:7" ht="15" customHeight="1" x14ac:dyDescent="0.25">
      <c r="A9" s="1"/>
      <c r="B9" s="62" t="s">
        <v>19</v>
      </c>
      <c r="C9" s="62" t="s">
        <v>12</v>
      </c>
      <c r="D9" s="63"/>
      <c r="E9" s="62" t="s">
        <v>34</v>
      </c>
      <c r="F9" s="63"/>
      <c r="G9" s="1"/>
    </row>
    <row r="10" spans="1:7" x14ac:dyDescent="0.25">
      <c r="A10" s="1"/>
      <c r="B10" s="25" t="s">
        <v>273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2" t="s">
        <v>92</v>
      </c>
      <c r="C14" s="113"/>
      <c r="D14" s="113"/>
      <c r="E14" s="113"/>
      <c r="F14" s="114"/>
      <c r="G14" s="1"/>
    </row>
    <row r="15" spans="1:7" ht="26.25" x14ac:dyDescent="0.25">
      <c r="A15" s="1"/>
      <c r="B15" s="62" t="s">
        <v>19</v>
      </c>
      <c r="C15" s="62" t="s">
        <v>12</v>
      </c>
      <c r="D15" s="63"/>
      <c r="E15" s="62" t="s">
        <v>34</v>
      </c>
      <c r="F15" s="63"/>
      <c r="G15" s="1"/>
    </row>
    <row r="16" spans="1:7" x14ac:dyDescent="0.25">
      <c r="A16" s="1"/>
      <c r="B16" s="25" t="s">
        <v>273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2" t="s">
        <v>151</v>
      </c>
      <c r="C20" s="113"/>
      <c r="D20" s="113"/>
      <c r="E20" s="113"/>
      <c r="F20" s="114"/>
      <c r="G20" s="1"/>
    </row>
    <row r="21" spans="1:7" ht="26.25" x14ac:dyDescent="0.25">
      <c r="A21" s="1"/>
      <c r="B21" s="62" t="s">
        <v>19</v>
      </c>
      <c r="C21" s="62" t="s">
        <v>12</v>
      </c>
      <c r="D21" s="63"/>
      <c r="E21" s="62" t="s">
        <v>34</v>
      </c>
      <c r="F21" s="63"/>
      <c r="G21" s="1"/>
    </row>
    <row r="22" spans="1:7" x14ac:dyDescent="0.25">
      <c r="A22" s="1"/>
      <c r="B22" s="25" t="s">
        <v>273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2" t="s">
        <v>219</v>
      </c>
      <c r="C26" s="113"/>
      <c r="D26" s="113"/>
      <c r="E26" s="113"/>
      <c r="F26" s="114"/>
      <c r="G26" s="1"/>
    </row>
    <row r="27" spans="1:7" ht="26.25" x14ac:dyDescent="0.25">
      <c r="A27" s="1"/>
      <c r="B27" s="62" t="s">
        <v>19</v>
      </c>
      <c r="C27" s="62" t="s">
        <v>12</v>
      </c>
      <c r="D27" s="63"/>
      <c r="E27" s="62" t="s">
        <v>34</v>
      </c>
      <c r="F27" s="63"/>
      <c r="G27" s="1"/>
    </row>
    <row r="28" spans="1:7" x14ac:dyDescent="0.25">
      <c r="A28" s="1"/>
      <c r="B28" s="25" t="s">
        <v>273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H7+gcnp87CLKeC1xl10UW/l+4h/TfgMV3S5kRa7W1A2ZQenJhhW70MlusSJs18WAKlCh+gL8XE30S1qIiXdgg==" saltValue="pHW6miGdSyl5HpS1mz4lc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173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9" t="s">
        <v>264</v>
      </c>
      <c r="C9" s="26">
        <v>1.2699999999999999E-2</v>
      </c>
      <c r="D9" s="1"/>
    </row>
    <row r="10" spans="1:4" x14ac:dyDescent="0.25">
      <c r="A10" s="1"/>
      <c r="B10" s="59" t="s">
        <v>122</v>
      </c>
      <c r="C10" s="26">
        <v>1.7500000000000002E-2</v>
      </c>
      <c r="D10" s="1"/>
    </row>
    <row r="11" spans="1:4" x14ac:dyDescent="0.25">
      <c r="A11" s="1"/>
      <c r="B11" s="59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285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9" t="s">
        <v>265</v>
      </c>
      <c r="C19" s="23">
        <v>9.1000000000000004E-3</v>
      </c>
      <c r="D19" s="1"/>
    </row>
    <row r="20" spans="1:4" x14ac:dyDescent="0.25">
      <c r="A20" s="1"/>
      <c r="B20" s="59" t="s">
        <v>124</v>
      </c>
      <c r="C20" s="23">
        <v>1.77E-2</v>
      </c>
      <c r="D20" s="1"/>
    </row>
    <row r="21" spans="1:4" x14ac:dyDescent="0.25">
      <c r="A21" s="1"/>
      <c r="B21" s="59" t="s">
        <v>123</v>
      </c>
      <c r="C21" s="23">
        <v>8.6999999999999994E-3</v>
      </c>
      <c r="D21" s="1"/>
    </row>
    <row r="22" spans="1:4" x14ac:dyDescent="0.25">
      <c r="A22" s="1"/>
      <c r="B22" s="59" t="s">
        <v>125</v>
      </c>
      <c r="C22" s="23">
        <v>2.8400000000000002E-2</v>
      </c>
      <c r="D22" s="1"/>
    </row>
    <row r="23" spans="1:4" x14ac:dyDescent="0.25">
      <c r="A23" s="1"/>
      <c r="B23" s="59" t="s">
        <v>154</v>
      </c>
      <c r="C23" s="32">
        <v>2.75E-2</v>
      </c>
      <c r="D23" s="1"/>
    </row>
    <row r="24" spans="1:4" x14ac:dyDescent="0.25">
      <c r="A24" s="1"/>
      <c r="B24" s="59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9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z2+afNF1wIBtWfYE9aaBAFI2IiNzxXXcUWLVcock71Av/4H20nM8Ms+aZ04voCJkn6/2NgR1GofNMCZ+CMRaoQ==" saltValue="d80xTJlBsIRKMdLZWCgn7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181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2" t="s">
        <v>26</v>
      </c>
      <c r="C9" s="7">
        <f>'Fane 3. Omkostninger i ØR2021'!E24</f>
        <v>192512141.51214522</v>
      </c>
      <c r="D9" s="8" t="s">
        <v>3</v>
      </c>
      <c r="E9" s="1"/>
    </row>
    <row r="10" spans="1:5" ht="17.100000000000001" customHeight="1" x14ac:dyDescent="0.25">
      <c r="A10" s="1"/>
      <c r="B10" s="50" t="s">
        <v>43</v>
      </c>
      <c r="C10" s="7">
        <f>'Fane 10.1. Varige tillæg'!C13</f>
        <v>1539629.0645000001</v>
      </c>
      <c r="D10" s="8" t="s">
        <v>3</v>
      </c>
      <c r="E10" s="1"/>
    </row>
    <row r="11" spans="1:5" ht="17.100000000000001" customHeight="1" x14ac:dyDescent="0.25">
      <c r="A11" s="1"/>
      <c r="B11" s="50" t="s">
        <v>44</v>
      </c>
      <c r="C11" s="9">
        <f>'Fane 10.1. Varige tillæg'!E13</f>
        <v>552339.72590000008</v>
      </c>
      <c r="D11" s="8" t="s">
        <v>3</v>
      </c>
      <c r="E11" s="1"/>
    </row>
    <row r="12" spans="1:5" ht="17.100000000000001" customHeight="1" x14ac:dyDescent="0.25">
      <c r="A12" s="1"/>
      <c r="B12" s="50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SUM(C9:C15)*'Fane 14. Nøgletal'!C14</f>
        <v>642193.56399839919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-SUM(C9,C10:C16)*'Fane 5. Individuelt eff. krav'!G11</f>
        <v>-2119234.5777064073</v>
      </c>
      <c r="D17" s="8" t="s">
        <v>3</v>
      </c>
      <c r="E17" s="1"/>
    </row>
    <row r="18" spans="1:5" ht="17.100000000000001" customHeight="1" x14ac:dyDescent="0.25">
      <c r="A18" s="1"/>
      <c r="B18" s="50" t="s">
        <v>27</v>
      </c>
      <c r="C18" s="9">
        <f>-'Fane 4.1. Gen. krav - drift'!G42</f>
        <v>-1355846.7044982966</v>
      </c>
      <c r="D18" s="8" t="s">
        <v>3</v>
      </c>
      <c r="E18" s="1"/>
    </row>
    <row r="19" spans="1:5" ht="15" customHeight="1" x14ac:dyDescent="0.25">
      <c r="A19" s="1"/>
      <c r="B19" s="50" t="s">
        <v>28</v>
      </c>
      <c r="C19" s="9">
        <f>-'Fane 4.2. Gen. krav - anlæg'!G40</f>
        <v>-1896393.4426065318</v>
      </c>
      <c r="D19" s="8" t="s">
        <v>3</v>
      </c>
      <c r="E19" s="1"/>
    </row>
    <row r="20" spans="1:5" ht="15" customHeight="1" x14ac:dyDescent="0.25">
      <c r="A20" s="1"/>
      <c r="B20" s="47" t="s">
        <v>22</v>
      </c>
      <c r="C20" s="10">
        <f>SUM(C9,C10:C19)</f>
        <v>189874829.14173239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2" t="s">
        <v>13</v>
      </c>
      <c r="C22" s="10">
        <f>'Fane 6. Ikke-påvirkelige omk.'!C17+'Fane 6. Ikke-påvirkelige omk.'!C21+'Fane 6. Ikke-påvirkelige omk.'!C29</f>
        <v>8591490.6263580006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7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50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7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2" t="s">
        <v>180</v>
      </c>
      <c r="C30" s="10">
        <f>'Fane 8. Korrektion af ØR2020'!E17</f>
        <v>-45788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2" t="s">
        <v>289</v>
      </c>
      <c r="C32" s="10">
        <f>'Fane 7. Kontrol af ØR2020'!E32</f>
        <v>-13773031.324932888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60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184647500.44315749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6RutBHT48YFTQXY6J5Any5ivtJGWGkbmYlzQk9o7IHGyvuRNQOMBV2Y5K+wfWgtOHIHmvYb59XEbSr6jt0EXQ==" saltValue="6h8l5s1VHOJBs+rsmYLJs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2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182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/>
      <c r="C5" s="83"/>
      <c r="D5" s="8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ht="15" customHeight="1" x14ac:dyDescent="0.25">
      <c r="A9" s="1"/>
      <c r="B9" s="52" t="s">
        <v>109</v>
      </c>
      <c r="C9" s="7">
        <f>'Fane 2.1. Økonomisk ramme 2022'!C20</f>
        <v>189874829.14173239</v>
      </c>
      <c r="D9" s="8" t="s">
        <v>3</v>
      </c>
      <c r="E9" s="1"/>
    </row>
    <row r="10" spans="1:5" ht="15" customHeight="1" x14ac:dyDescent="0.25">
      <c r="A10" s="1"/>
      <c r="B10" s="50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3" t="s">
        <v>20</v>
      </c>
      <c r="C12" s="9">
        <f>SUM(C9:C11)*'Fane 14. Nøgletal'!C14</f>
        <v>626586.93616771686</v>
      </c>
      <c r="D12" s="8" t="s">
        <v>3</v>
      </c>
      <c r="E12" s="1"/>
    </row>
    <row r="13" spans="1:5" ht="15" customHeight="1" x14ac:dyDescent="0.25">
      <c r="A13" s="1"/>
      <c r="B13" s="43" t="s">
        <v>10</v>
      </c>
      <c r="C13" s="9">
        <f>-SUM(C9:C12)*'Fane 5. Individuelt eff. krav'!G11</f>
        <v>-2067732.807532548</v>
      </c>
      <c r="D13" s="8" t="s">
        <v>3</v>
      </c>
      <c r="E13" s="1"/>
    </row>
    <row r="14" spans="1:5" ht="15" customHeight="1" x14ac:dyDescent="0.25">
      <c r="A14" s="1"/>
      <c r="B14" s="43" t="s">
        <v>27</v>
      </c>
      <c r="C14" s="9">
        <f>-'Fane 4.1. Gen. krav - drift'!G49</f>
        <v>-1333114.5786506783</v>
      </c>
      <c r="D14" s="8" t="s">
        <v>3</v>
      </c>
      <c r="E14" s="1"/>
    </row>
    <row r="15" spans="1:5" ht="15" customHeight="1" x14ac:dyDescent="0.25">
      <c r="A15" s="1"/>
      <c r="B15" s="43" t="s">
        <v>28</v>
      </c>
      <c r="C15" s="9">
        <f>-'Fane 4.2. Gen. krav - anlæg'!G47</f>
        <v>-1874492.2981608198</v>
      </c>
      <c r="D15" s="8" t="s">
        <v>3</v>
      </c>
      <c r="E15" s="1"/>
    </row>
    <row r="16" spans="1:5" ht="15" customHeight="1" x14ac:dyDescent="0.25">
      <c r="A16" s="1"/>
      <c r="B16" s="44" t="s">
        <v>22</v>
      </c>
      <c r="C16" s="10">
        <f>SUM(C9:C15)</f>
        <v>185226076.39355606</v>
      </c>
      <c r="D16" s="11" t="s">
        <v>3</v>
      </c>
      <c r="E16" s="1"/>
    </row>
    <row r="17" spans="1:5" ht="15" customHeight="1" x14ac:dyDescent="0.25">
      <c r="A17" s="1"/>
      <c r="B17" s="35" t="s">
        <v>13</v>
      </c>
      <c r="C17" s="36"/>
      <c r="D17" s="20"/>
      <c r="E17" s="1"/>
    </row>
    <row r="18" spans="1:5" ht="15" customHeight="1" x14ac:dyDescent="0.25">
      <c r="A18" s="1"/>
      <c r="B18" s="62" t="s">
        <v>13</v>
      </c>
      <c r="C18" s="10">
        <f>'Fane 6. Ikke-påvirkelige omk.'!C17*(1+'Fane 14. Nøgletal'!C14)+'Fane 6. Ikke-påvirkelige omk.'!C22+'Fane 6. Ikke-påvirkelige omk.'!C30</f>
        <v>8622298.3205249831</v>
      </c>
      <c r="D18" s="11" t="s">
        <v>3</v>
      </c>
      <c r="E18" s="1"/>
    </row>
    <row r="19" spans="1:5" ht="15" customHeight="1" x14ac:dyDescent="0.25">
      <c r="A19" s="1"/>
      <c r="B19" s="35" t="s">
        <v>78</v>
      </c>
      <c r="C19" s="36"/>
      <c r="D19" s="20"/>
      <c r="E19" s="1"/>
    </row>
    <row r="20" spans="1:5" ht="15" customHeight="1" x14ac:dyDescent="0.25">
      <c r="A20" s="1"/>
      <c r="B20" s="47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5" t="s">
        <v>77</v>
      </c>
      <c r="C21" s="36"/>
      <c r="D21" s="20"/>
      <c r="E21" s="1"/>
    </row>
    <row r="22" spans="1:5" ht="15" customHeight="1" x14ac:dyDescent="0.25">
      <c r="A22" s="1"/>
      <c r="B22" s="50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7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5" t="s">
        <v>171</v>
      </c>
      <c r="C25" s="36"/>
      <c r="D25" s="20"/>
      <c r="E25" s="1"/>
    </row>
    <row r="26" spans="1:5" ht="15" customHeight="1" x14ac:dyDescent="0.25">
      <c r="A26" s="1"/>
      <c r="B26" s="62" t="s">
        <v>289</v>
      </c>
      <c r="C26" s="10">
        <f>'Fane 7. Kontrol af ØR2020'!E32</f>
        <v>-13773031.324932888</v>
      </c>
      <c r="D26" s="11" t="s">
        <v>3</v>
      </c>
      <c r="E26" s="1"/>
    </row>
    <row r="27" spans="1:5" x14ac:dyDescent="0.25">
      <c r="A27" s="1"/>
      <c r="B27" s="37" t="s">
        <v>262</v>
      </c>
      <c r="C27" s="36"/>
      <c r="D27" s="20"/>
      <c r="E27" s="1"/>
    </row>
    <row r="28" spans="1:5" x14ac:dyDescent="0.25">
      <c r="A28" s="1"/>
      <c r="B28" s="60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5" t="s">
        <v>86</v>
      </c>
      <c r="C29" s="12">
        <f>SUM(C16,C18,C20,C24,C26,C28)</f>
        <v>180075343.38914818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EbeIagCG8of0i3V+R0HWmvcaDFriHfKIEV+89GC7Qq/xqg0iagcAe0kbwW872oyBGZbK34b6+LRwJ2SfMTXyFg==" saltValue="UT2QWsOA+wdO8+rR3oy4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.71093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183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 t="s">
        <v>23</v>
      </c>
      <c r="C5" s="83"/>
      <c r="D5" s="8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2" t="s">
        <v>139</v>
      </c>
      <c r="C8" s="7">
        <f>'Fane 2.2. Økonomisk ramme 2023'!C16</f>
        <v>185226076.39355606</v>
      </c>
      <c r="D8" s="8" t="s">
        <v>3</v>
      </c>
      <c r="E8" s="1"/>
    </row>
    <row r="9" spans="1:5" ht="15" customHeight="1" x14ac:dyDescent="0.25">
      <c r="A9" s="1"/>
      <c r="B9" s="52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3" t="s">
        <v>20</v>
      </c>
      <c r="C11" s="9">
        <f>SUM(C8:C10)*'Fane 14. Nøgletal'!C14</f>
        <v>611246.052098735</v>
      </c>
      <c r="D11" s="8" t="s">
        <v>3</v>
      </c>
      <c r="E11" s="1"/>
    </row>
    <row r="12" spans="1:5" ht="15" customHeight="1" x14ac:dyDescent="0.25">
      <c r="A12" s="1"/>
      <c r="B12" s="43" t="s">
        <v>10</v>
      </c>
      <c r="C12" s="9">
        <f>-SUM(C8:C11)*'Fane 5. Individuelt eff. krav'!G11</f>
        <v>-2017107.9900411461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drift'!G56</f>
        <v>-1310763.5796250212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anlæg'!G54</f>
        <v>-1852844.0865281282</v>
      </c>
      <c r="D14" s="8" t="s">
        <v>3</v>
      </c>
      <c r="E14" s="1"/>
    </row>
    <row r="15" spans="1:5" x14ac:dyDescent="0.25">
      <c r="A15" s="1"/>
      <c r="B15" s="44" t="s">
        <v>22</v>
      </c>
      <c r="C15" s="10">
        <f>SUM(C8:C14)</f>
        <v>180656606.78946051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2" t="s">
        <v>13</v>
      </c>
      <c r="C17" s="10">
        <f>'Fane 6. Ikke-påvirkelige omk.'!C17*(1+'Fane 14. Nøgletal'!C14)^2+'Fane 6. Ikke-påvirkelige omk.'!C23+'Fane 6. Ikke-påvirkelige omk.'!C31</f>
        <v>8653380.5646827146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7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0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0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7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60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189309987.35414323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8ZrkDB28+KIMqtYGLVrdZ6xoWBolGp74Tf6i9c7QxWVp3IEZTBj5IMeZFBLOvxR29SmQnPv/PygE92I6ewm5Q==" saltValue="llSjG/2I8y+NA6Q425UJ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184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 t="s">
        <v>23</v>
      </c>
      <c r="C5" s="83"/>
      <c r="D5" s="8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2" t="s">
        <v>185</v>
      </c>
      <c r="C8" s="7">
        <f>'Fane 2.3. Økonomisk ramme 2024'!C15</f>
        <v>180656606.78946051</v>
      </c>
      <c r="D8" s="8" t="s">
        <v>3</v>
      </c>
      <c r="E8" s="1"/>
    </row>
    <row r="9" spans="1:5" ht="15" customHeight="1" x14ac:dyDescent="0.25">
      <c r="A9" s="1"/>
      <c r="B9" s="52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3" t="s">
        <v>20</v>
      </c>
      <c r="C11" s="9">
        <f>SUM(C8:C10)*'Fane 14. Nøgletal'!C14</f>
        <v>596166.80240521964</v>
      </c>
      <c r="D11" s="8" t="s">
        <v>3</v>
      </c>
      <c r="E11" s="1"/>
    </row>
    <row r="12" spans="1:5" ht="15" customHeight="1" x14ac:dyDescent="0.25">
      <c r="A12" s="1"/>
      <c r="B12" s="43" t="s">
        <v>10</v>
      </c>
      <c r="C12" s="9">
        <f>-SUM(C8:C11)*'Fane 5. Individuelt eff. krav'!G11</f>
        <v>-1967346.5642844003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drift'!G62</f>
        <v>-1288787.3174490281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anlæg'!G60</f>
        <v>-1831445.886627869</v>
      </c>
      <c r="D14" s="8" t="s">
        <v>3</v>
      </c>
      <c r="E14" s="1"/>
    </row>
    <row r="15" spans="1:5" x14ac:dyDescent="0.25">
      <c r="A15" s="1"/>
      <c r="B15" s="44" t="s">
        <v>22</v>
      </c>
      <c r="C15" s="10">
        <f>SUM(C8:C14)</f>
        <v>176165193.82350439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2" t="s">
        <v>13</v>
      </c>
      <c r="C17" s="10">
        <f>'Fane 6. Ikke-påvirkelige omk.'!C17*(1+'Fane 14. Nøgletal'!C14)^3+'Fane 6. Ikke-påvirkelige omk.'!C24+'Fane 6. Ikke-påvirkelige omk.'!C32</f>
        <v>8684740.5817461684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7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0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0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7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184849934.40525055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zuciCMv/zw3AHehAvQn5EwDi1nrQTkgv0YIZJpHXtoTyZOTm8LdT8H1oYuBBxwjWPF5YrcYQ15DX6U6ECiQug==" saltValue="jBEJNEAb1Lz+OjZ1naQj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187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85" t="s">
        <v>25</v>
      </c>
      <c r="C9" s="86"/>
      <c r="D9" s="87"/>
      <c r="E9" s="7">
        <v>189753632.17217138</v>
      </c>
      <c r="F9" s="8" t="s">
        <v>3</v>
      </c>
      <c r="G9" s="1"/>
    </row>
    <row r="10" spans="1:7" ht="14.25" customHeight="1" x14ac:dyDescent="0.25">
      <c r="A10" s="1"/>
      <c r="B10" s="91" t="s">
        <v>227</v>
      </c>
      <c r="C10" s="92"/>
      <c r="D10" s="93"/>
      <c r="E10" s="7">
        <v>0</v>
      </c>
      <c r="F10" s="8" t="s">
        <v>3</v>
      </c>
      <c r="G10" s="1"/>
    </row>
    <row r="11" spans="1:7" ht="14.25" customHeight="1" x14ac:dyDescent="0.25">
      <c r="A11" s="1"/>
      <c r="B11" s="91" t="s">
        <v>228</v>
      </c>
      <c r="C11" s="92"/>
      <c r="D11" s="93"/>
      <c r="E11" s="7">
        <v>797399.5903093745</v>
      </c>
      <c r="F11" s="8" t="s">
        <v>3</v>
      </c>
      <c r="G11" s="1"/>
    </row>
    <row r="12" spans="1:7" x14ac:dyDescent="0.25">
      <c r="A12" s="1"/>
      <c r="B12" s="91" t="s">
        <v>189</v>
      </c>
      <c r="C12" s="92"/>
      <c r="D12" s="93"/>
      <c r="E12" s="9">
        <v>1093824.0678060234</v>
      </c>
      <c r="F12" s="8" t="s">
        <v>3</v>
      </c>
      <c r="G12" s="1"/>
    </row>
    <row r="13" spans="1:7" x14ac:dyDescent="0.25">
      <c r="A13" s="1"/>
      <c r="B13" s="91" t="s">
        <v>190</v>
      </c>
      <c r="C13" s="92"/>
      <c r="D13" s="93"/>
      <c r="E13" s="9">
        <v>1628452.2783348197</v>
      </c>
      <c r="F13" s="8" t="s">
        <v>3</v>
      </c>
      <c r="G13" s="1"/>
    </row>
    <row r="14" spans="1:7" x14ac:dyDescent="0.25">
      <c r="A14" s="1"/>
      <c r="B14" s="88" t="s">
        <v>43</v>
      </c>
      <c r="C14" s="89"/>
      <c r="D14" s="90"/>
      <c r="E14" s="9">
        <v>807233.54879999999</v>
      </c>
      <c r="F14" s="8" t="s">
        <v>3</v>
      </c>
      <c r="G14" s="1"/>
    </row>
    <row r="15" spans="1:7" x14ac:dyDescent="0.25">
      <c r="A15" s="1"/>
      <c r="B15" s="88" t="s">
        <v>44</v>
      </c>
      <c r="C15" s="89"/>
      <c r="D15" s="90"/>
      <c r="E15" s="9">
        <v>2259986.5134000001</v>
      </c>
      <c r="F15" s="8" t="s">
        <v>3</v>
      </c>
      <c r="G15" s="1"/>
    </row>
    <row r="16" spans="1:7" x14ac:dyDescent="0.25">
      <c r="A16" s="1"/>
      <c r="B16" s="88" t="s">
        <v>30</v>
      </c>
      <c r="C16" s="89"/>
      <c r="D16" s="90"/>
      <c r="E16" s="9">
        <v>0</v>
      </c>
      <c r="F16" s="8" t="s">
        <v>3</v>
      </c>
      <c r="G16" s="1"/>
    </row>
    <row r="17" spans="1:7" x14ac:dyDescent="0.25">
      <c r="A17" s="1"/>
      <c r="B17" s="88" t="s">
        <v>29</v>
      </c>
      <c r="C17" s="89"/>
      <c r="D17" s="90"/>
      <c r="E17" s="9">
        <v>0</v>
      </c>
      <c r="F17" s="8" t="s">
        <v>3</v>
      </c>
      <c r="G17" s="1"/>
    </row>
    <row r="18" spans="1:7" x14ac:dyDescent="0.25">
      <c r="A18" s="1"/>
      <c r="B18" s="88" t="s">
        <v>137</v>
      </c>
      <c r="C18" s="89"/>
      <c r="D18" s="90"/>
      <c r="E18" s="9">
        <v>0</v>
      </c>
      <c r="F18" s="8" t="s">
        <v>3</v>
      </c>
      <c r="G18" s="1"/>
    </row>
    <row r="19" spans="1:7" x14ac:dyDescent="0.25">
      <c r="A19" s="1"/>
      <c r="B19" s="88" t="s">
        <v>138</v>
      </c>
      <c r="C19" s="89"/>
      <c r="D19" s="90"/>
      <c r="E19" s="9">
        <v>0</v>
      </c>
      <c r="F19" s="8" t="s">
        <v>3</v>
      </c>
      <c r="G19" s="1"/>
    </row>
    <row r="20" spans="1:7" x14ac:dyDescent="0.25">
      <c r="A20" s="1"/>
      <c r="B20" s="88" t="s">
        <v>20</v>
      </c>
      <c r="C20" s="89"/>
      <c r="D20" s="90"/>
      <c r="E20" s="9">
        <v>3363619.2159791645</v>
      </c>
      <c r="F20" s="8" t="s">
        <v>3</v>
      </c>
      <c r="G20" s="1"/>
    </row>
    <row r="21" spans="1:7" x14ac:dyDescent="0.25">
      <c r="A21" s="1"/>
      <c r="B21" s="88" t="s">
        <v>10</v>
      </c>
      <c r="C21" s="89"/>
      <c r="D21" s="90"/>
      <c r="E21" s="9">
        <v>0</v>
      </c>
      <c r="F21" s="8" t="s">
        <v>3</v>
      </c>
      <c r="G21" s="1"/>
    </row>
    <row r="22" spans="1:7" x14ac:dyDescent="0.25">
      <c r="A22" s="1"/>
      <c r="B22" s="88" t="s">
        <v>27</v>
      </c>
      <c r="C22" s="89"/>
      <c r="D22" s="90"/>
      <c r="E22" s="9">
        <f>-'Fane 4.1. Gen. krav - drift'!G36</f>
        <v>-1347545.4547849644</v>
      </c>
      <c r="F22" s="8" t="s">
        <v>3</v>
      </c>
      <c r="G22" s="1"/>
    </row>
    <row r="23" spans="1:7" x14ac:dyDescent="0.25">
      <c r="A23" s="1"/>
      <c r="B23" s="88" t="s">
        <v>28</v>
      </c>
      <c r="C23" s="89"/>
      <c r="D23" s="90"/>
      <c r="E23" s="9">
        <f>-'Fane 4.2. Gen. krav - anlæg'!G34</f>
        <v>-2324784.4834203371</v>
      </c>
      <c r="F23" s="8" t="s">
        <v>3</v>
      </c>
      <c r="G23" s="1"/>
    </row>
    <row r="24" spans="1:7" x14ac:dyDescent="0.25">
      <c r="A24" s="1"/>
      <c r="B24" s="100" t="s">
        <v>22</v>
      </c>
      <c r="C24" s="101"/>
      <c r="D24" s="102"/>
      <c r="E24" s="10">
        <f>SUM(E9,E14:E23)</f>
        <v>192512141.51214522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97" t="s">
        <v>13</v>
      </c>
      <c r="C26" s="98"/>
      <c r="D26" s="99"/>
      <c r="E26" s="10">
        <v>10566871.515342321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103" t="s">
        <v>78</v>
      </c>
      <c r="C28" s="104"/>
      <c r="D28" s="105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91" t="s">
        <v>73</v>
      </c>
      <c r="C30" s="92"/>
      <c r="D30" s="93"/>
      <c r="E30" s="33">
        <v>0</v>
      </c>
      <c r="F30" s="8" t="s">
        <v>3</v>
      </c>
      <c r="G30" s="1"/>
    </row>
    <row r="31" spans="1:7" ht="15.75" customHeight="1" x14ac:dyDescent="0.25">
      <c r="A31" s="1"/>
      <c r="B31" s="91" t="s">
        <v>74</v>
      </c>
      <c r="C31" s="92"/>
      <c r="D31" s="93"/>
      <c r="E31" s="33">
        <v>0</v>
      </c>
      <c r="F31" s="8" t="s">
        <v>3</v>
      </c>
      <c r="G31" s="1"/>
    </row>
    <row r="32" spans="1:7" x14ac:dyDescent="0.25">
      <c r="A32" s="1"/>
      <c r="B32" s="47" t="s">
        <v>79</v>
      </c>
      <c r="C32" s="45"/>
      <c r="D32" s="46"/>
      <c r="E32" s="10">
        <v>0</v>
      </c>
      <c r="F32" s="11" t="s">
        <v>3</v>
      </c>
      <c r="G32" s="1"/>
    </row>
    <row r="33" spans="1:7" x14ac:dyDescent="0.25">
      <c r="A33" s="1"/>
      <c r="B33" s="35" t="s">
        <v>284</v>
      </c>
      <c r="C33" s="36"/>
      <c r="D33" s="36"/>
      <c r="E33" s="36"/>
      <c r="F33" s="20"/>
      <c r="G33" s="1"/>
    </row>
    <row r="34" spans="1:7" ht="15" customHeight="1" x14ac:dyDescent="0.25">
      <c r="A34" s="1"/>
      <c r="B34" s="97" t="s">
        <v>284</v>
      </c>
      <c r="C34" s="98"/>
      <c r="D34" s="99"/>
      <c r="E34" s="10">
        <v>-207092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202871921.02748755</v>
      </c>
      <c r="F35" s="13" t="s">
        <v>3</v>
      </c>
      <c r="G35" s="1"/>
    </row>
    <row r="36" spans="1:7" ht="26.85" customHeight="1" x14ac:dyDescent="0.25">
      <c r="A36" s="1"/>
      <c r="B36" s="94" t="s">
        <v>226</v>
      </c>
      <c r="C36" s="95"/>
      <c r="D36" s="95"/>
      <c r="E36" s="95"/>
      <c r="F36" s="9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yh9oqJmLPXq7p9IVMYBvR4yZMxzHi2r+AqyrSBLhTFEizoIAZ8wc5yOMWq83SuMAsMwdSXwAbr5L0B1BVgumA==" saltValue="gA5f3BykM+tvrDnOK+YFCQ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84" t="s">
        <v>121</v>
      </c>
      <c r="C1" s="84"/>
      <c r="D1" s="84"/>
      <c r="E1" s="84"/>
      <c r="F1" s="84"/>
      <c r="G1" s="84"/>
      <c r="H1" s="84"/>
      <c r="I1" s="1"/>
    </row>
    <row r="2" spans="1:9" ht="15" customHeight="1" x14ac:dyDescent="0.25">
      <c r="A2" s="1"/>
      <c r="B2" s="84"/>
      <c r="C2" s="84"/>
      <c r="D2" s="84"/>
      <c r="E2" s="84"/>
      <c r="F2" s="84"/>
      <c r="G2" s="84"/>
      <c r="H2" s="84"/>
      <c r="I2" s="1"/>
    </row>
    <row r="3" spans="1:9" ht="15" customHeight="1" x14ac:dyDescent="0.25">
      <c r="A3" s="1"/>
      <c r="B3" s="84"/>
      <c r="C3" s="84"/>
      <c r="D3" s="84"/>
      <c r="E3" s="84"/>
      <c r="F3" s="84"/>
      <c r="G3" s="84"/>
      <c r="H3" s="84"/>
      <c r="I3" s="1"/>
    </row>
    <row r="4" spans="1:9" x14ac:dyDescent="0.25">
      <c r="A4" s="1"/>
      <c r="B4" s="112" t="s">
        <v>229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06" t="s">
        <v>230</v>
      </c>
      <c r="C5" s="107"/>
      <c r="D5" s="107"/>
      <c r="E5" s="107"/>
      <c r="F5" s="108"/>
      <c r="G5" s="24">
        <v>65863295.141847663</v>
      </c>
      <c r="H5" s="14" t="s">
        <v>3</v>
      </c>
      <c r="I5" s="1"/>
    </row>
    <row r="6" spans="1:9" ht="15" customHeight="1" x14ac:dyDescent="0.25">
      <c r="A6" s="1"/>
      <c r="B6" s="94" t="s">
        <v>231</v>
      </c>
      <c r="C6" s="95"/>
      <c r="D6" s="95"/>
      <c r="E6" s="95"/>
      <c r="F6" s="96"/>
      <c r="G6" s="33">
        <v>0</v>
      </c>
      <c r="H6" s="14" t="s">
        <v>3</v>
      </c>
      <c r="I6" s="1"/>
    </row>
    <row r="7" spans="1:9" x14ac:dyDescent="0.25">
      <c r="A7" s="1"/>
      <c r="B7" s="106" t="s">
        <v>232</v>
      </c>
      <c r="C7" s="107"/>
      <c r="D7" s="107"/>
      <c r="E7" s="107"/>
      <c r="F7" s="108"/>
      <c r="G7" s="24">
        <f>SUM(G5:G6)*'Fane 14. Nøgletal'!C29</f>
        <v>1317265.9028369533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2" t="s">
        <v>53</v>
      </c>
      <c r="C10" s="113"/>
      <c r="D10" s="113"/>
      <c r="E10" s="113"/>
      <c r="F10" s="113"/>
      <c r="G10" s="113"/>
      <c r="H10" s="114"/>
      <c r="I10" s="1"/>
    </row>
    <row r="11" spans="1:9" x14ac:dyDescent="0.25">
      <c r="A11" s="1"/>
      <c r="B11" s="106" t="s">
        <v>233</v>
      </c>
      <c r="C11" s="107"/>
      <c r="D11" s="107"/>
      <c r="E11" s="107"/>
      <c r="F11" s="108"/>
      <c r="G11" s="24">
        <f>(G5-G7)*(1+'Fane 14. Nøgletal'!C10)</f>
        <v>65675584.750693396</v>
      </c>
      <c r="H11" s="14" t="s">
        <v>3</v>
      </c>
      <c r="I11" s="1"/>
    </row>
    <row r="12" spans="1:9" x14ac:dyDescent="0.25">
      <c r="A12" s="1"/>
      <c r="B12" s="106" t="s">
        <v>133</v>
      </c>
      <c r="C12" s="107"/>
      <c r="D12" s="107"/>
      <c r="E12" s="107"/>
      <c r="F12" s="108"/>
      <c r="G12" s="33">
        <v>0</v>
      </c>
      <c r="H12" s="14" t="s">
        <v>3</v>
      </c>
      <c r="I12" s="1"/>
    </row>
    <row r="13" spans="1:9" x14ac:dyDescent="0.25">
      <c r="A13" s="1"/>
      <c r="B13" s="94" t="s">
        <v>131</v>
      </c>
      <c r="C13" s="95"/>
      <c r="D13" s="95"/>
      <c r="E13" s="95"/>
      <c r="F13" s="96"/>
      <c r="G13" s="33">
        <v>0</v>
      </c>
      <c r="H13" s="14" t="s">
        <v>3</v>
      </c>
      <c r="I13" s="1"/>
    </row>
    <row r="14" spans="1:9" x14ac:dyDescent="0.25">
      <c r="A14" s="1"/>
      <c r="B14" s="117" t="s">
        <v>234</v>
      </c>
      <c r="C14" s="110"/>
      <c r="D14" s="110"/>
      <c r="E14" s="110"/>
      <c r="F14" s="111"/>
      <c r="G14" s="24">
        <v>331991.65518750006</v>
      </c>
      <c r="H14" s="14" t="s">
        <v>3</v>
      </c>
      <c r="I14" s="1"/>
    </row>
    <row r="15" spans="1:9" x14ac:dyDescent="0.25">
      <c r="A15" s="1"/>
      <c r="B15" s="106" t="s">
        <v>46</v>
      </c>
      <c r="C15" s="107"/>
      <c r="D15" s="107"/>
      <c r="E15" s="107"/>
      <c r="F15" s="108"/>
      <c r="G15" s="24">
        <f>SUM(G11:G14)*'Fane 14. Nøgletal'!C29</f>
        <v>1320151.5281176181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2" t="s">
        <v>54</v>
      </c>
      <c r="C18" s="113"/>
      <c r="D18" s="113"/>
      <c r="E18" s="113"/>
      <c r="F18" s="113"/>
      <c r="G18" s="113"/>
      <c r="H18" s="114"/>
      <c r="I18" s="1"/>
    </row>
    <row r="19" spans="1:9" x14ac:dyDescent="0.25">
      <c r="A19" s="1"/>
      <c r="B19" s="106" t="s">
        <v>47</v>
      </c>
      <c r="C19" s="107"/>
      <c r="D19" s="107"/>
      <c r="E19" s="107"/>
      <c r="F19" s="108"/>
      <c r="G19" s="24">
        <f>(G11+G12+G14-G15)*(1+'Fane 14. Nøgletal'!C10)</f>
        <v>65819454.813124143</v>
      </c>
      <c r="H19" s="14" t="s">
        <v>3</v>
      </c>
      <c r="I19" s="1"/>
    </row>
    <row r="20" spans="1:9" x14ac:dyDescent="0.25">
      <c r="A20" s="1"/>
      <c r="B20" s="117" t="s">
        <v>48</v>
      </c>
      <c r="C20" s="110"/>
      <c r="D20" s="110"/>
      <c r="E20" s="110"/>
      <c r="F20" s="111"/>
      <c r="G20" s="33">
        <v>0</v>
      </c>
      <c r="H20" s="14" t="s">
        <v>3</v>
      </c>
      <c r="I20" s="1"/>
    </row>
    <row r="21" spans="1:9" x14ac:dyDescent="0.25">
      <c r="A21" s="1"/>
      <c r="B21" s="106" t="s">
        <v>49</v>
      </c>
      <c r="C21" s="107"/>
      <c r="D21" s="107"/>
      <c r="E21" s="107"/>
      <c r="F21" s="108"/>
      <c r="G21" s="24">
        <f>(G19+G20)*'Fane 14. Nøgletal'!C29</f>
        <v>1316389.0962624829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2" t="s">
        <v>55</v>
      </c>
      <c r="C24" s="113"/>
      <c r="D24" s="113"/>
      <c r="E24" s="113"/>
      <c r="F24" s="113"/>
      <c r="G24" s="113"/>
      <c r="H24" s="114"/>
      <c r="I24" s="1"/>
    </row>
    <row r="25" spans="1:9" x14ac:dyDescent="0.25">
      <c r="A25" s="1"/>
      <c r="B25" s="106" t="s">
        <v>50</v>
      </c>
      <c r="C25" s="107"/>
      <c r="D25" s="107"/>
      <c r="E25" s="107"/>
      <c r="F25" s="108"/>
      <c r="G25" s="24">
        <f>G19*(1-'Fane 14. Nøgletal'!C29)*(1+'Fane 14. Nøgletal'!C10)+G20*(1-'Fane 14. Nøgletal'!C29)*(1+'Fane 14. Nøgletal'!C11)</f>
        <v>65631869.36690674</v>
      </c>
      <c r="H25" s="14" t="s">
        <v>3</v>
      </c>
      <c r="I25" s="1"/>
    </row>
    <row r="26" spans="1:9" x14ac:dyDescent="0.25">
      <c r="A26" s="1"/>
      <c r="B26" s="109" t="s">
        <v>235</v>
      </c>
      <c r="C26" s="115"/>
      <c r="D26" s="115"/>
      <c r="E26" s="115"/>
      <c r="F26" s="116"/>
      <c r="G26" s="33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17" t="s">
        <v>51</v>
      </c>
      <c r="C27" s="110"/>
      <c r="D27" s="110"/>
      <c r="E27" s="110"/>
      <c r="F27" s="111"/>
      <c r="G27" s="24">
        <v>1116147.00796533</v>
      </c>
      <c r="H27" s="14" t="s">
        <v>3</v>
      </c>
      <c r="I27" s="1"/>
    </row>
    <row r="28" spans="1:9" x14ac:dyDescent="0.25">
      <c r="A28" s="1"/>
      <c r="B28" s="106" t="s">
        <v>52</v>
      </c>
      <c r="C28" s="107"/>
      <c r="D28" s="107"/>
      <c r="E28" s="107"/>
      <c r="F28" s="108"/>
      <c r="G28" s="24">
        <f>SUM(G25,G27)*'Fane 14. Nøgletal'!C29</f>
        <v>1334960.3274974416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2" t="s">
        <v>56</v>
      </c>
      <c r="C31" s="113"/>
      <c r="D31" s="113"/>
      <c r="E31" s="113"/>
      <c r="F31" s="113"/>
      <c r="G31" s="113"/>
      <c r="H31" s="114"/>
      <c r="I31" s="1"/>
    </row>
    <row r="32" spans="1:9" x14ac:dyDescent="0.25">
      <c r="A32" s="1"/>
      <c r="B32" s="106" t="s">
        <v>57</v>
      </c>
      <c r="C32" s="107"/>
      <c r="D32" s="107"/>
      <c r="E32" s="107"/>
      <c r="F32" s="108"/>
      <c r="G32" s="24">
        <f>(G25-G26)*(1-'Fane 14. Nøgletal'!C29)*(1+'Fane 14. Nøgletal'!C10)+G26*(1-'Fane 14. Nøgletal'!C29)*(1+'Fane 14. Nøgletal'!C11)+G27*(1-'Fane 14. Nøgletal'!C29)*(1+'Fane 14. Nøgletal'!C12)</f>
        <v>66560190.941152856</v>
      </c>
      <c r="H32" s="14" t="s">
        <v>3</v>
      </c>
      <c r="I32" s="1"/>
    </row>
    <row r="33" spans="1:9" x14ac:dyDescent="0.25">
      <c r="A33" s="1"/>
      <c r="B33" s="109" t="s">
        <v>235</v>
      </c>
      <c r="C33" s="110"/>
      <c r="D33" s="110"/>
      <c r="E33" s="110"/>
      <c r="F33" s="111"/>
      <c r="G33" s="33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09" t="s">
        <v>130</v>
      </c>
      <c r="C34" s="110"/>
      <c r="D34" s="110"/>
      <c r="E34" s="110"/>
      <c r="F34" s="111"/>
      <c r="G34" s="24">
        <f>G27*(1-'Fane 14. Nøgletal'!C29)*(1+'Fane 14. Nøgletal'!C12)</f>
        <v>1115372.4019418021</v>
      </c>
      <c r="H34" s="14" t="s">
        <v>3</v>
      </c>
      <c r="I34" s="1"/>
    </row>
    <row r="35" spans="1:9" x14ac:dyDescent="0.25">
      <c r="A35" s="1"/>
      <c r="B35" s="106" t="s">
        <v>159</v>
      </c>
      <c r="C35" s="107"/>
      <c r="D35" s="107"/>
      <c r="E35" s="107"/>
      <c r="F35" s="108"/>
      <c r="G35" s="24">
        <v>817081.79809535993</v>
      </c>
      <c r="H35" s="14" t="s">
        <v>3</v>
      </c>
      <c r="I35" s="1"/>
    </row>
    <row r="36" spans="1:9" x14ac:dyDescent="0.25">
      <c r="A36" s="1"/>
      <c r="B36" s="106" t="s">
        <v>58</v>
      </c>
      <c r="C36" s="107"/>
      <c r="D36" s="107"/>
      <c r="E36" s="107"/>
      <c r="F36" s="108"/>
      <c r="G36" s="24">
        <f>SUM(G32,G35)*'Fane 14. Nøgletal'!C29</f>
        <v>1347545.4547849644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2" t="s">
        <v>191</v>
      </c>
      <c r="C39" s="113"/>
      <c r="D39" s="113"/>
      <c r="E39" s="113"/>
      <c r="F39" s="113"/>
      <c r="G39" s="113"/>
      <c r="H39" s="114"/>
      <c r="I39" s="1"/>
    </row>
    <row r="40" spans="1:9" x14ac:dyDescent="0.25">
      <c r="A40" s="1"/>
      <c r="B40" s="106" t="s">
        <v>245</v>
      </c>
      <c r="C40" s="107"/>
      <c r="D40" s="107"/>
      <c r="E40" s="107"/>
      <c r="F40" s="108"/>
      <c r="G40" s="24">
        <f>(SUM(G32,G35)-G36)*(1+'Fane 14. Nøgletal'!C14)</f>
        <v>66247625.384501986</v>
      </c>
      <c r="H40" s="14" t="s">
        <v>3</v>
      </c>
      <c r="I40" s="1"/>
    </row>
    <row r="41" spans="1:9" x14ac:dyDescent="0.25">
      <c r="A41" s="1"/>
      <c r="B41" s="106" t="s">
        <v>244</v>
      </c>
      <c r="C41" s="107"/>
      <c r="D41" s="107"/>
      <c r="E41" s="107"/>
      <c r="F41" s="108"/>
      <c r="G41" s="24">
        <f>(SUM('Fane 2.1. Økonomisk ramme 2022'!C10,'Fane 2.1. Økonomisk ramme 2022'!C12,'Fane 2.1. Økonomisk ramme 2022'!C14)*(1+'Fane 14. Nøgletal'!C14))</f>
        <v>1544709.8404128503</v>
      </c>
      <c r="H41" s="14" t="s">
        <v>3</v>
      </c>
      <c r="I41" s="1"/>
    </row>
    <row r="42" spans="1:9" x14ac:dyDescent="0.25">
      <c r="A42" s="1"/>
      <c r="B42" s="106" t="s">
        <v>243</v>
      </c>
      <c r="C42" s="107"/>
      <c r="D42" s="107"/>
      <c r="E42" s="107"/>
      <c r="F42" s="108"/>
      <c r="G42" s="24">
        <f>(G40+G41)*'Fane 14. Nøgletal'!C29</f>
        <v>1355846.7044982966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2" t="s">
        <v>223</v>
      </c>
      <c r="C45" s="113"/>
      <c r="D45" s="113"/>
      <c r="E45" s="113"/>
      <c r="F45" s="113"/>
      <c r="G45" s="113"/>
      <c r="H45" s="114"/>
      <c r="I45" s="1"/>
    </row>
    <row r="46" spans="1:9" x14ac:dyDescent="0.25">
      <c r="A46" s="1"/>
      <c r="B46" s="106" t="s">
        <v>256</v>
      </c>
      <c r="C46" s="107"/>
      <c r="D46" s="107"/>
      <c r="E46" s="107"/>
      <c r="F46" s="108"/>
      <c r="G46" s="24">
        <f>(G40+G41-G42)*(1+'Fane 14. Nøgletal'!C14)</f>
        <v>66655728.932533912</v>
      </c>
      <c r="H46" s="14" t="s">
        <v>3</v>
      </c>
      <c r="I46" s="1"/>
    </row>
    <row r="47" spans="1:9" x14ac:dyDescent="0.25">
      <c r="A47" s="1"/>
      <c r="B47" s="109" t="s">
        <v>258</v>
      </c>
      <c r="C47" s="110"/>
      <c r="D47" s="110"/>
      <c r="E47" s="110"/>
      <c r="F47" s="111"/>
      <c r="G47" s="24">
        <f>G41*(1+'Fane 14. Nøgletal'!C14)</f>
        <v>1549807.3828862128</v>
      </c>
      <c r="H47" s="14" t="s">
        <v>3</v>
      </c>
      <c r="I47" s="1"/>
    </row>
    <row r="48" spans="1:9" x14ac:dyDescent="0.25">
      <c r="A48" s="1"/>
      <c r="B48" s="106" t="s">
        <v>81</v>
      </c>
      <c r="C48" s="107"/>
      <c r="D48" s="107"/>
      <c r="E48" s="107"/>
      <c r="F48" s="108"/>
      <c r="G48" s="33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06" t="s">
        <v>257</v>
      </c>
      <c r="C49" s="107"/>
      <c r="D49" s="107"/>
      <c r="E49" s="107"/>
      <c r="F49" s="108"/>
      <c r="G49" s="24">
        <f>(G46+G48)*'Fane 14. Nøgletal'!C29</f>
        <v>1333114.5786506783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12" t="s">
        <v>160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06" t="s">
        <v>161</v>
      </c>
      <c r="C54" s="107"/>
      <c r="D54" s="107"/>
      <c r="E54" s="107"/>
      <c r="F54" s="108"/>
      <c r="G54" s="24">
        <f>(G46+G48-G49)*(1+'Fane 14. Nøgletal'!C14)</f>
        <v>65538178.981251054</v>
      </c>
      <c r="H54" s="14" t="s">
        <v>3</v>
      </c>
      <c r="I54" s="1"/>
    </row>
    <row r="55" spans="1:9" x14ac:dyDescent="0.25">
      <c r="A55" s="1"/>
      <c r="B55" s="106" t="s">
        <v>162</v>
      </c>
      <c r="C55" s="107"/>
      <c r="D55" s="107"/>
      <c r="E55" s="107"/>
      <c r="F55" s="108"/>
      <c r="G55" s="33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06" t="s">
        <v>163</v>
      </c>
      <c r="C56" s="107"/>
      <c r="D56" s="107"/>
      <c r="E56" s="107"/>
      <c r="F56" s="108"/>
      <c r="G56" s="24">
        <f>(G54+G55)*'Fane 14. Nøgletal'!C29</f>
        <v>1310763.5796250212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53" t="s">
        <v>224</v>
      </c>
      <c r="C59" s="54"/>
      <c r="D59" s="54"/>
      <c r="E59" s="54"/>
      <c r="F59" s="54"/>
      <c r="G59" s="54"/>
      <c r="H59" s="55"/>
      <c r="I59" s="1"/>
    </row>
    <row r="60" spans="1:9" x14ac:dyDescent="0.25">
      <c r="A60" s="1"/>
      <c r="B60" s="56" t="s">
        <v>236</v>
      </c>
      <c r="C60" s="57"/>
      <c r="D60" s="57"/>
      <c r="E60" s="57"/>
      <c r="F60" s="58"/>
      <c r="G60" s="24">
        <f>(G54+G55-G56)*(1+'Fane 14. Nøgletal'!C14)</f>
        <v>64439365.87245141</v>
      </c>
      <c r="H60" s="14" t="s">
        <v>3</v>
      </c>
      <c r="I60" s="1"/>
    </row>
    <row r="61" spans="1:9" x14ac:dyDescent="0.25">
      <c r="A61" s="1"/>
      <c r="B61" s="56" t="s">
        <v>237</v>
      </c>
      <c r="C61" s="57"/>
      <c r="D61" s="57"/>
      <c r="E61" s="57"/>
      <c r="F61" s="58"/>
      <c r="G61" s="33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6" t="s">
        <v>238</v>
      </c>
      <c r="C62" s="57"/>
      <c r="D62" s="57"/>
      <c r="E62" s="57"/>
      <c r="F62" s="58"/>
      <c r="G62" s="24">
        <f>(G60+G61)*'Fane 14. Nøgletal'!C29</f>
        <v>1288787.3174490281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nPr0tI/7xZsSa/p0Iq+HV6Y8qEq1Ql5WDfkwuF53/jaF0D+RLlEt7fFMOk13sRqMCysB19ZNoXE3LRGAVoMjrA==" saltValue="4vgMrMUYiqzI8FCzmJ7DcA==" spinCount="100000" sheet="1" objects="1" scenarios="1"/>
  <mergeCells count="39"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1:H3"/>
    <mergeCell ref="B4:H4"/>
    <mergeCell ref="B5:F5"/>
    <mergeCell ref="B7:F7"/>
    <mergeCell ref="B11:F11"/>
    <mergeCell ref="B10:H10"/>
    <mergeCell ref="B6:F6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41:F41"/>
    <mergeCell ref="B47:F47"/>
    <mergeCell ref="B53:H53"/>
    <mergeCell ref="B54:F54"/>
    <mergeCell ref="B55:F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42578125" style="2" customWidth="1"/>
    <col min="8" max="8" width="8.140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8" t="s">
        <v>120</v>
      </c>
      <c r="C2" s="118"/>
      <c r="D2" s="118"/>
      <c r="E2" s="118"/>
      <c r="F2" s="118"/>
      <c r="G2" s="118"/>
      <c r="H2" s="118"/>
      <c r="I2" s="1"/>
    </row>
    <row r="3" spans="1:9" ht="28.5" customHeight="1" x14ac:dyDescent="0.25">
      <c r="A3" s="1"/>
      <c r="B3" s="118"/>
      <c r="C3" s="118"/>
      <c r="D3" s="118"/>
      <c r="E3" s="118"/>
      <c r="F3" s="118"/>
      <c r="G3" s="118"/>
      <c r="H3" s="118"/>
      <c r="I3" s="1"/>
    </row>
    <row r="4" spans="1:9" x14ac:dyDescent="0.25">
      <c r="A4" s="1"/>
      <c r="B4" s="112" t="s">
        <v>246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06" t="s">
        <v>247</v>
      </c>
      <c r="C5" s="107"/>
      <c r="D5" s="107"/>
      <c r="E5" s="107"/>
      <c r="F5" s="108"/>
      <c r="G5" s="24">
        <v>122877427.84155519</v>
      </c>
      <c r="H5" s="14" t="s">
        <v>3</v>
      </c>
      <c r="I5" s="1"/>
    </row>
    <row r="6" spans="1:9" x14ac:dyDescent="0.25">
      <c r="A6" s="1"/>
      <c r="B6" s="106" t="s">
        <v>239</v>
      </c>
      <c r="C6" s="107"/>
      <c r="D6" s="107"/>
      <c r="E6" s="107"/>
      <c r="F6" s="108"/>
      <c r="G6" s="24">
        <f>G5*'Fane 14. Nøgletal'!C19</f>
        <v>1118184.5933581523</v>
      </c>
      <c r="H6" s="14" t="s">
        <v>3</v>
      </c>
      <c r="I6" s="1"/>
    </row>
    <row r="7" spans="1:9" x14ac:dyDescent="0.25">
      <c r="A7" s="1"/>
      <c r="B7" s="35"/>
      <c r="C7" s="36"/>
      <c r="D7" s="36"/>
      <c r="E7" s="36"/>
      <c r="F7" s="36"/>
      <c r="G7" s="3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59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06" t="s">
        <v>248</v>
      </c>
      <c r="C10" s="107"/>
      <c r="D10" s="107"/>
      <c r="E10" s="107"/>
      <c r="F10" s="108"/>
      <c r="G10" s="24">
        <f>(G5-G6)*(1+'Fane 14. Nøgletal'!C10)</f>
        <v>123890030.0050405</v>
      </c>
      <c r="H10" s="14" t="s">
        <v>3</v>
      </c>
      <c r="I10" s="1"/>
    </row>
    <row r="11" spans="1:9" x14ac:dyDescent="0.25">
      <c r="A11" s="1"/>
      <c r="B11" s="106" t="s">
        <v>134</v>
      </c>
      <c r="C11" s="107"/>
      <c r="D11" s="107"/>
      <c r="E11" s="107"/>
      <c r="F11" s="108"/>
      <c r="G11" s="24">
        <v>1027619.3074171473</v>
      </c>
      <c r="H11" s="14" t="s">
        <v>3</v>
      </c>
      <c r="I11" s="1"/>
    </row>
    <row r="12" spans="1:9" x14ac:dyDescent="0.25">
      <c r="A12" s="1"/>
      <c r="B12" s="117" t="s">
        <v>249</v>
      </c>
      <c r="C12" s="110"/>
      <c r="D12" s="110"/>
      <c r="E12" s="110"/>
      <c r="F12" s="111"/>
      <c r="G12" s="33">
        <v>0</v>
      </c>
      <c r="H12" s="14" t="s">
        <v>3</v>
      </c>
      <c r="I12" s="1"/>
    </row>
    <row r="13" spans="1:9" x14ac:dyDescent="0.25">
      <c r="A13" s="1"/>
      <c r="B13" s="106" t="s">
        <v>60</v>
      </c>
      <c r="C13" s="107"/>
      <c r="D13" s="107"/>
      <c r="E13" s="107"/>
      <c r="F13" s="108"/>
      <c r="G13" s="24">
        <f>SUM(G10:G12)*'Fane 14. Nøgletal'!C20</f>
        <v>2211042.3928305004</v>
      </c>
      <c r="H13" s="14" t="s">
        <v>3</v>
      </c>
      <c r="I13" s="1"/>
    </row>
    <row r="14" spans="1:9" x14ac:dyDescent="0.25">
      <c r="A14" s="1"/>
      <c r="B14" s="35"/>
      <c r="C14" s="36"/>
      <c r="D14" s="36"/>
      <c r="E14" s="36"/>
      <c r="F14" s="36"/>
      <c r="G14" s="3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2" t="s">
        <v>61</v>
      </c>
      <c r="C16" s="113"/>
      <c r="D16" s="113"/>
      <c r="E16" s="113"/>
      <c r="F16" s="113"/>
      <c r="G16" s="113"/>
      <c r="H16" s="114"/>
      <c r="I16" s="1"/>
    </row>
    <row r="17" spans="1:9" x14ac:dyDescent="0.25">
      <c r="A17" s="1"/>
      <c r="B17" s="106" t="s">
        <v>62</v>
      </c>
      <c r="C17" s="107"/>
      <c r="D17" s="107"/>
      <c r="E17" s="107"/>
      <c r="F17" s="108"/>
      <c r="G17" s="24">
        <f>(G10+G11+G12-G13)*(1+'Fane 14. Nøgletal'!C10)</f>
        <v>124853972.54072063</v>
      </c>
      <c r="H17" s="14" t="s">
        <v>3</v>
      </c>
      <c r="I17" s="1"/>
    </row>
    <row r="18" spans="1:9" x14ac:dyDescent="0.25">
      <c r="A18" s="1"/>
      <c r="B18" s="117" t="s">
        <v>63</v>
      </c>
      <c r="C18" s="110"/>
      <c r="D18" s="110"/>
      <c r="E18" s="110"/>
      <c r="F18" s="111"/>
      <c r="G18" s="24">
        <v>797971.80858308985</v>
      </c>
      <c r="H18" s="14" t="s">
        <v>3</v>
      </c>
      <c r="I18" s="1"/>
    </row>
    <row r="19" spans="1:9" x14ac:dyDescent="0.25">
      <c r="A19" s="1"/>
      <c r="B19" s="106" t="s">
        <v>64</v>
      </c>
      <c r="C19" s="107"/>
      <c r="D19" s="107"/>
      <c r="E19" s="107"/>
      <c r="F19" s="108"/>
      <c r="G19" s="24">
        <f>G17*'Fane 14. Nøgletal'!C20+G18*'Fane 14. Nøgletal'!C21</f>
        <v>2216857.668705428</v>
      </c>
      <c r="H19" s="14" t="s">
        <v>3</v>
      </c>
      <c r="I19" s="1"/>
    </row>
    <row r="20" spans="1:9" x14ac:dyDescent="0.25">
      <c r="A20" s="1"/>
      <c r="B20" s="35"/>
      <c r="C20" s="36"/>
      <c r="D20" s="36"/>
      <c r="E20" s="36"/>
      <c r="F20" s="36"/>
      <c r="G20" s="3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222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06" t="s">
        <v>65</v>
      </c>
      <c r="C23" s="107"/>
      <c r="D23" s="107"/>
      <c r="E23" s="107"/>
      <c r="F23" s="108"/>
      <c r="G23" s="24">
        <f>G17*(1-'Fane 14. Nøgletal'!C20)*(1+'Fane 14. Nøgletal'!C10)+G18*(1-'Fane 14. Nøgletal'!C21)*(1+'Fane 14. Nøgletal'!C11)</f>
        <v>125594726.07983646</v>
      </c>
      <c r="H23" s="14" t="s">
        <v>3</v>
      </c>
      <c r="I23" s="1"/>
    </row>
    <row r="24" spans="1:9" x14ac:dyDescent="0.25">
      <c r="A24" s="1"/>
      <c r="B24" s="109" t="s">
        <v>250</v>
      </c>
      <c r="C24" s="110"/>
      <c r="D24" s="110"/>
      <c r="E24" s="110"/>
      <c r="F24" s="111"/>
      <c r="G24" s="24">
        <f>G18*(1-'Fane 14. Nøgletal'!C21)*(1+'Fane 14. Nøgletal'!C11)</f>
        <v>804397.85161845514</v>
      </c>
      <c r="H24" s="14" t="s">
        <v>3</v>
      </c>
      <c r="I24" s="1"/>
    </row>
    <row r="25" spans="1:9" x14ac:dyDescent="0.25">
      <c r="A25" s="1"/>
      <c r="B25" s="117" t="s">
        <v>66</v>
      </c>
      <c r="C25" s="110"/>
      <c r="D25" s="110"/>
      <c r="E25" s="110"/>
      <c r="F25" s="111"/>
      <c r="G25" s="24">
        <v>1676052.1596694316</v>
      </c>
      <c r="H25" s="14" t="s">
        <v>3</v>
      </c>
      <c r="I25" s="1"/>
    </row>
    <row r="26" spans="1:9" x14ac:dyDescent="0.25">
      <c r="A26" s="1"/>
      <c r="B26" s="106" t="s">
        <v>67</v>
      </c>
      <c r="C26" s="107"/>
      <c r="D26" s="107"/>
      <c r="E26" s="107"/>
      <c r="F26" s="108"/>
      <c r="G26" s="24">
        <f>(G23-G24)*'Fane 14. Nøgletal'!C21+G24*'Fane 14. Nøgletal'!C22+G25*'Fane 14. Nøgletal'!C23</f>
        <v>1154612.1889623699</v>
      </c>
      <c r="H26" s="14" t="s">
        <v>3</v>
      </c>
      <c r="I26" s="1"/>
    </row>
    <row r="27" spans="1:9" x14ac:dyDescent="0.25">
      <c r="A27" s="1"/>
      <c r="B27" s="35"/>
      <c r="C27" s="36"/>
      <c r="D27" s="36"/>
      <c r="E27" s="36"/>
      <c r="F27" s="36"/>
      <c r="G27" s="3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2" t="s">
        <v>68</v>
      </c>
      <c r="C29" s="113"/>
      <c r="D29" s="113"/>
      <c r="E29" s="113"/>
      <c r="F29" s="113"/>
      <c r="G29" s="113"/>
      <c r="H29" s="114"/>
      <c r="I29" s="1"/>
    </row>
    <row r="30" spans="1:9" x14ac:dyDescent="0.25">
      <c r="A30" s="1"/>
      <c r="B30" s="106" t="s">
        <v>69</v>
      </c>
      <c r="C30" s="107"/>
      <c r="D30" s="107"/>
      <c r="E30" s="107"/>
      <c r="F30" s="108"/>
      <c r="G30" s="24">
        <f>(G23-G24)*(1-'Fane 14. Nøgletal'!C20)*(1+'Fane 14. Nøgletal'!C10)+G24*(1-'Fane 14. Nøgletal'!C21)*(1+'Fane 14. Nøgletal'!C11)+G25*(1-'Fane 14. Nøgletal'!C22)*(1+'Fane 14. Nøgletal'!C12)</f>
        <v>127198124.79000729</v>
      </c>
      <c r="H30" s="14" t="s">
        <v>3</v>
      </c>
      <c r="I30" s="1"/>
    </row>
    <row r="31" spans="1:9" x14ac:dyDescent="0.25">
      <c r="A31" s="1"/>
      <c r="B31" s="109" t="s">
        <v>251</v>
      </c>
      <c r="C31" s="110"/>
      <c r="D31" s="110"/>
      <c r="E31" s="110"/>
      <c r="F31" s="111"/>
      <c r="G31" s="24">
        <f>G24*(1-'Fane 14. Nøgletal'!C21)*(1+'Fane 14. Nøgletal'!C11)</f>
        <v>810875.64338560286</v>
      </c>
      <c r="H31" s="14" t="s">
        <v>3</v>
      </c>
      <c r="I31" s="1"/>
    </row>
    <row r="32" spans="1:9" x14ac:dyDescent="0.25">
      <c r="A32" s="1"/>
      <c r="B32" s="109" t="s">
        <v>129</v>
      </c>
      <c r="C32" s="110"/>
      <c r="D32" s="110"/>
      <c r="E32" s="110"/>
      <c r="F32" s="111"/>
      <c r="G32" s="24">
        <f>G25*(1-'Fane 14. Nøgletal'!C22)*(1+'Fane 14. Nøgletal'!C12)</f>
        <v>1660532.7882180158</v>
      </c>
      <c r="H32" s="14" t="s">
        <v>3</v>
      </c>
      <c r="I32" s="1"/>
    </row>
    <row r="33" spans="1:9" x14ac:dyDescent="0.25">
      <c r="A33" s="1"/>
      <c r="B33" s="106" t="s">
        <v>164</v>
      </c>
      <c r="C33" s="107"/>
      <c r="D33" s="107"/>
      <c r="E33" s="107"/>
      <c r="F33" s="108"/>
      <c r="G33" s="24">
        <v>2287558.3488634801</v>
      </c>
      <c r="H33" s="14" t="s">
        <v>3</v>
      </c>
      <c r="I33" s="1"/>
    </row>
    <row r="34" spans="1:9" x14ac:dyDescent="0.25">
      <c r="A34" s="1"/>
      <c r="B34" s="106" t="s">
        <v>70</v>
      </c>
      <c r="C34" s="107"/>
      <c r="D34" s="107"/>
      <c r="E34" s="107"/>
      <c r="F34" s="108"/>
      <c r="G34" s="24">
        <f>(G30-SUM(G31:G32))*'Fane 14. Nøgletal'!C20+G31*'Fane 14. Nøgletal'!C21+G32*'Fane 14. Nøgletal'!C22+G33*'Fane 14. Nøgletal'!C23</f>
        <v>2324784.4834203371</v>
      </c>
      <c r="H34" s="14" t="s">
        <v>3</v>
      </c>
      <c r="I34" s="1"/>
    </row>
    <row r="35" spans="1:9" x14ac:dyDescent="0.25">
      <c r="A35" s="1"/>
      <c r="B35" s="35"/>
      <c r="C35" s="36"/>
      <c r="D35" s="36"/>
      <c r="E35" s="36"/>
      <c r="F35" s="36"/>
      <c r="G35" s="36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12" t="s">
        <v>192</v>
      </c>
      <c r="C37" s="113"/>
      <c r="D37" s="113"/>
      <c r="E37" s="113"/>
      <c r="F37" s="113"/>
      <c r="G37" s="113"/>
      <c r="H37" s="114"/>
      <c r="I37" s="1"/>
    </row>
    <row r="38" spans="1:9" x14ac:dyDescent="0.25">
      <c r="A38" s="1"/>
      <c r="B38" s="106" t="s">
        <v>252</v>
      </c>
      <c r="C38" s="107"/>
      <c r="D38" s="107"/>
      <c r="E38" s="107"/>
      <c r="F38" s="108"/>
      <c r="G38" s="24">
        <f>(SUM(G30,G33)-G34)*(1+'Fane 14. Nøgletal'!C14)</f>
        <v>127580529.62101343</v>
      </c>
      <c r="H38" s="14" t="s">
        <v>3</v>
      </c>
      <c r="I38" s="1"/>
    </row>
    <row r="39" spans="1:9" x14ac:dyDescent="0.25">
      <c r="A39" s="1"/>
      <c r="B39" s="106" t="s">
        <v>193</v>
      </c>
      <c r="C39" s="107"/>
      <c r="D39" s="107"/>
      <c r="E39" s="107"/>
      <c r="F39" s="108"/>
      <c r="G39" s="24">
        <f>SUM('Fane 2.1. Økonomisk ramme 2022'!C11,'Fane 2.1. Økonomisk ramme 2022'!C13,'Fane 2.1. Økonomisk ramme 2022'!C15)*(1+'Fane 14. Nøgletal'!C14)</f>
        <v>554162.44699547009</v>
      </c>
      <c r="H39" s="14" t="s">
        <v>3</v>
      </c>
      <c r="I39" s="1"/>
    </row>
    <row r="40" spans="1:9" x14ac:dyDescent="0.25">
      <c r="A40" s="1"/>
      <c r="B40" s="106" t="s">
        <v>194</v>
      </c>
      <c r="C40" s="107"/>
      <c r="D40" s="107"/>
      <c r="E40" s="107"/>
      <c r="F40" s="108"/>
      <c r="G40" s="24">
        <f>(G38+G39)*'Fane 14. Nøgletal'!C24</f>
        <v>1896393.4426065318</v>
      </c>
      <c r="H40" s="14" t="s">
        <v>3</v>
      </c>
      <c r="I40" s="1"/>
    </row>
    <row r="41" spans="1:9" x14ac:dyDescent="0.25">
      <c r="A41" s="1"/>
      <c r="B41" s="35"/>
      <c r="C41" s="36"/>
      <c r="D41" s="36"/>
      <c r="E41" s="36"/>
      <c r="F41" s="36"/>
      <c r="G41" s="36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12" t="s">
        <v>253</v>
      </c>
      <c r="C43" s="113"/>
      <c r="D43" s="113"/>
      <c r="E43" s="113"/>
      <c r="F43" s="113"/>
      <c r="G43" s="113"/>
      <c r="H43" s="114"/>
      <c r="I43" s="1"/>
    </row>
    <row r="44" spans="1:9" x14ac:dyDescent="0.25">
      <c r="A44" s="1"/>
      <c r="B44" s="106" t="s">
        <v>71</v>
      </c>
      <c r="C44" s="107"/>
      <c r="D44" s="107"/>
      <c r="E44" s="107"/>
      <c r="F44" s="108"/>
      <c r="G44" s="24">
        <f>(G38+G39-G40)*(1+'Fane 14. Nøgletal'!C14)</f>
        <v>126654885.01086619</v>
      </c>
      <c r="H44" s="14" t="s">
        <v>3</v>
      </c>
      <c r="I44" s="1"/>
    </row>
    <row r="45" spans="1:9" x14ac:dyDescent="0.25">
      <c r="A45" s="1"/>
      <c r="B45" s="109" t="s">
        <v>260</v>
      </c>
      <c r="C45" s="110"/>
      <c r="D45" s="110"/>
      <c r="E45" s="110"/>
      <c r="F45" s="111"/>
      <c r="G45" s="24">
        <f>G39*(1+'Fane 14. Nøgletal'!C14)</f>
        <v>555991.18307055521</v>
      </c>
      <c r="H45" s="14" t="s">
        <v>3</v>
      </c>
      <c r="I45" s="1"/>
    </row>
    <row r="46" spans="1:9" x14ac:dyDescent="0.25">
      <c r="A46" s="1"/>
      <c r="B46" s="106" t="s">
        <v>85</v>
      </c>
      <c r="C46" s="107"/>
      <c r="D46" s="107"/>
      <c r="E46" s="107"/>
      <c r="F46" s="108"/>
      <c r="G46" s="33">
        <f>-'Fane 13. Bortfald'!E18*(1+'Fane 14. Nøgletal'!C14)</f>
        <v>0</v>
      </c>
      <c r="H46" s="14" t="s">
        <v>3</v>
      </c>
      <c r="I46" s="1"/>
    </row>
    <row r="47" spans="1:9" x14ac:dyDescent="0.25">
      <c r="A47" s="1"/>
      <c r="B47" s="106" t="s">
        <v>259</v>
      </c>
      <c r="C47" s="107"/>
      <c r="D47" s="107"/>
      <c r="E47" s="107"/>
      <c r="F47" s="108"/>
      <c r="G47" s="24">
        <f>(G44+G46)*'Fane 14. Nøgletal'!C24</f>
        <v>1874492.2981608198</v>
      </c>
      <c r="H47" s="14" t="s">
        <v>3</v>
      </c>
      <c r="I47" s="1"/>
    </row>
    <row r="48" spans="1:9" x14ac:dyDescent="0.25">
      <c r="A48" s="1"/>
      <c r="B48" s="35"/>
      <c r="C48" s="36"/>
      <c r="D48" s="36"/>
      <c r="E48" s="36"/>
      <c r="F48" s="36"/>
      <c r="G48" s="3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2" t="s">
        <v>165</v>
      </c>
      <c r="C51" s="113"/>
      <c r="D51" s="113"/>
      <c r="E51" s="113"/>
      <c r="F51" s="113"/>
      <c r="G51" s="113"/>
      <c r="H51" s="114"/>
      <c r="I51" s="1"/>
    </row>
    <row r="52" spans="1:9" x14ac:dyDescent="0.25">
      <c r="A52" s="1"/>
      <c r="B52" s="106" t="s">
        <v>166</v>
      </c>
      <c r="C52" s="107"/>
      <c r="D52" s="107"/>
      <c r="E52" s="107"/>
      <c r="F52" s="108"/>
      <c r="G52" s="24">
        <f>(G44+G46-G47)*(1+'Fane 14. Nøgletal'!C14)</f>
        <v>125192168.00865731</v>
      </c>
      <c r="H52" s="14" t="s">
        <v>3</v>
      </c>
      <c r="I52" s="1"/>
    </row>
    <row r="53" spans="1:9" x14ac:dyDescent="0.25">
      <c r="A53" s="1"/>
      <c r="B53" s="106" t="s">
        <v>167</v>
      </c>
      <c r="C53" s="107"/>
      <c r="D53" s="107"/>
      <c r="E53" s="107"/>
      <c r="F53" s="108"/>
      <c r="G53" s="33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06" t="s">
        <v>168</v>
      </c>
      <c r="C54" s="107"/>
      <c r="D54" s="107"/>
      <c r="E54" s="107"/>
      <c r="F54" s="108"/>
      <c r="G54" s="24">
        <f>(G52+G53)*'Fane 14. Nøgletal'!C24</f>
        <v>1852844.0865281282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2" t="s">
        <v>225</v>
      </c>
      <c r="C57" s="113"/>
      <c r="D57" s="113"/>
      <c r="E57" s="113"/>
      <c r="F57" s="113"/>
      <c r="G57" s="113"/>
      <c r="H57" s="114"/>
      <c r="I57" s="1"/>
    </row>
    <row r="58" spans="1:9" x14ac:dyDescent="0.25">
      <c r="A58" s="1"/>
      <c r="B58" s="106" t="s">
        <v>166</v>
      </c>
      <c r="C58" s="107"/>
      <c r="D58" s="107"/>
      <c r="E58" s="107"/>
      <c r="F58" s="108"/>
      <c r="G58" s="24">
        <f>(G52+G53-G54)*(1+'Fane 14. Nøgletal'!C14)</f>
        <v>123746343.69107223</v>
      </c>
      <c r="H58" s="14" t="s">
        <v>3</v>
      </c>
      <c r="I58" s="1"/>
    </row>
    <row r="59" spans="1:9" x14ac:dyDescent="0.25">
      <c r="A59" s="1"/>
      <c r="B59" s="106" t="s">
        <v>254</v>
      </c>
      <c r="C59" s="107"/>
      <c r="D59" s="107"/>
      <c r="E59" s="107"/>
      <c r="F59" s="108"/>
      <c r="G59" s="33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06" t="s">
        <v>255</v>
      </c>
      <c r="C60" s="107"/>
      <c r="D60" s="107"/>
      <c r="E60" s="107"/>
      <c r="F60" s="108"/>
      <c r="G60" s="24">
        <f>(G58+G59)*'Fane 14. Nøgletal'!C24</f>
        <v>1831445.886627869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ATT3CdYvvhmsl+pysyLnCHvLDv2PJFoOP084Np/kxAaK3JRcGUzuoOOwcTmg4HP6ak/vquVLsyuxMDgsbYd+0g==" saltValue="q0O+1rDwMRZMZVIljYG8hw==" spinCount="100000" sheet="1" objects="1" scenarios="1"/>
  <mergeCells count="41">
    <mergeCell ref="B2:H3"/>
    <mergeCell ref="B19:F19"/>
    <mergeCell ref="B4:H4"/>
    <mergeCell ref="B5:F5"/>
    <mergeCell ref="B6:F6"/>
    <mergeCell ref="B9:H9"/>
    <mergeCell ref="B11:F11"/>
    <mergeCell ref="B10:F10"/>
    <mergeCell ref="B12:F12"/>
    <mergeCell ref="B13:F13"/>
    <mergeCell ref="B17:F17"/>
    <mergeCell ref="B40:F40"/>
    <mergeCell ref="B43:H43"/>
    <mergeCell ref="B24:F24"/>
    <mergeCell ref="B29:H29"/>
    <mergeCell ref="B30:F30"/>
    <mergeCell ref="B34:F34"/>
    <mergeCell ref="B37:H37"/>
    <mergeCell ref="B33:F33"/>
    <mergeCell ref="B22:H22"/>
    <mergeCell ref="B16:H16"/>
    <mergeCell ref="B18:F18"/>
    <mergeCell ref="B23:F23"/>
    <mergeCell ref="B39:F39"/>
    <mergeCell ref="B31:F31"/>
    <mergeCell ref="B32:F32"/>
    <mergeCell ref="B38:F38"/>
    <mergeCell ref="B25:F25"/>
    <mergeCell ref="B26:F26"/>
    <mergeCell ref="B57:H57"/>
    <mergeCell ref="B44:F44"/>
    <mergeCell ref="B58:F58"/>
    <mergeCell ref="B59:F59"/>
    <mergeCell ref="B60:F60"/>
    <mergeCell ref="B45:F45"/>
    <mergeCell ref="B46:F46"/>
    <mergeCell ref="B53:F53"/>
    <mergeCell ref="B52:F52"/>
    <mergeCell ref="B54:F54"/>
    <mergeCell ref="B51:H51"/>
    <mergeCell ref="B47:F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80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10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06" t="s">
        <v>261</v>
      </c>
      <c r="C9" s="107"/>
      <c r="D9" s="107"/>
      <c r="E9" s="107"/>
      <c r="F9" s="108"/>
      <c r="G9" s="23">
        <v>3.3666929540928808E-3</v>
      </c>
      <c r="H9" s="14"/>
      <c r="I9" s="1"/>
    </row>
    <row r="10" spans="1:9" x14ac:dyDescent="0.25">
      <c r="A10" s="1"/>
      <c r="B10" s="106" t="s">
        <v>105</v>
      </c>
      <c r="C10" s="107"/>
      <c r="D10" s="107"/>
      <c r="E10" s="107"/>
      <c r="F10" s="108"/>
      <c r="G10" s="23">
        <v>0</v>
      </c>
      <c r="H10" s="14"/>
      <c r="I10" s="1"/>
    </row>
    <row r="11" spans="1:9" x14ac:dyDescent="0.25">
      <c r="A11" s="1"/>
      <c r="B11" s="106" t="s">
        <v>195</v>
      </c>
      <c r="C11" s="107"/>
      <c r="D11" s="107"/>
      <c r="E11" s="107"/>
      <c r="F11" s="108"/>
      <c r="G11" s="23">
        <v>1.0854159775311107E-2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19" t="s">
        <v>196</v>
      </c>
      <c r="C13" s="119"/>
      <c r="D13" s="119"/>
      <c r="E13" s="119"/>
      <c r="F13" s="119"/>
      <c r="G13" s="119"/>
      <c r="H13" s="119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joJCSQYzSqmRCZ+6rjdpDAEsSSXckuaIwAD3s7f3yDkOEfGr0XXa4W0oExsNP/obyQIWt6p+XleflRzaFEFw==" saltValue="IUYwSfTbMwDhOtkYkCnNOg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2021-10-14T14:26:20Z</dcterms:modified>
</cp:coreProperties>
</file>