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Ikast Vandforsyning A.m.b.A (V106)\ØR2025\"/>
    </mc:Choice>
  </mc:AlternateContent>
  <xr:revisionPtr revIDLastSave="0" documentId="13_ncr:1_{DEC3155B-30BE-459F-BFE3-B74DA31B2E5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ØR2024'!$C$33</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ØR2024'!$C$33</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9" i="2" l="1"/>
  <c r="F10" i="11" l="1"/>
  <c r="F11" i="11" s="1"/>
  <c r="C11" i="29"/>
  <c r="C12" i="29" l="1"/>
  <c r="E11" i="29" l="1"/>
  <c r="C10" i="36" l="1"/>
  <c r="C10" i="30"/>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<sst xmlns="http://schemas.openxmlformats.org/spreadsheetml/2006/main" count="445" uniqueCount="203">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</sst>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0" fontId="8" fillId="8" borderId="4" xfId="0" applyFont="1" applyFill="1" applyBorder="1" applyAlignment="1" applyProtection="1">
      <alignment horizontal="left" wrapText="1"/>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2"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9" t="s">
        <v>4</v>
      </c>
      <c r="D6" s="89"/>
      <c r="E6" s="89"/>
      <c r="F6" s="89"/>
      <c r="G6" s="1"/>
    </row>
    <row r="7" spans="1:7" ht="15" customHeight="1" x14ac:dyDescent="0.25">
      <c r="A7" s="1"/>
      <c r="B7" s="3"/>
      <c r="C7" s="89"/>
      <c r="D7" s="89"/>
      <c r="E7" s="89"/>
      <c r="F7" s="89"/>
      <c r="G7" s="1"/>
    </row>
    <row r="8" spans="1:7" ht="15.75" x14ac:dyDescent="0.25">
      <c r="A8" s="1"/>
      <c r="B8" s="4"/>
      <c r="C8" s="91" t="s">
        <v>198</v>
      </c>
      <c r="D8" s="91"/>
      <c r="E8" s="91"/>
      <c r="F8" s="91"/>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90" t="s">
        <v>5</v>
      </c>
      <c r="D11" s="90"/>
      <c r="E11" s="90"/>
      <c r="F11" s="90"/>
      <c r="G11" s="1"/>
    </row>
    <row r="12" spans="1:7" x14ac:dyDescent="0.25">
      <c r="A12" s="1"/>
      <c r="B12" s="1"/>
      <c r="C12" s="1"/>
      <c r="D12" s="1"/>
      <c r="E12" s="1"/>
      <c r="F12" s="1"/>
      <c r="G12" s="1"/>
    </row>
    <row r="13" spans="1:7" x14ac:dyDescent="0.25">
      <c r="A13" s="1"/>
      <c r="B13" s="6" t="s">
        <v>6</v>
      </c>
      <c r="C13" s="86" t="s">
        <v>124</v>
      </c>
      <c r="D13" s="87"/>
      <c r="E13" s="87"/>
      <c r="F13" s="88"/>
      <c r="G13" s="1"/>
    </row>
    <row r="14" spans="1:7" x14ac:dyDescent="0.25">
      <c r="A14" s="1"/>
      <c r="B14" s="6" t="s">
        <v>14</v>
      </c>
      <c r="C14" s="86" t="s">
        <v>159</v>
      </c>
      <c r="D14" s="87"/>
      <c r="E14" s="87"/>
      <c r="F14" s="88"/>
      <c r="G14" s="1"/>
    </row>
    <row r="15" spans="1:7" x14ac:dyDescent="0.25">
      <c r="A15" s="1"/>
      <c r="B15" s="6" t="s">
        <v>29</v>
      </c>
      <c r="C15" s="86" t="s">
        <v>107</v>
      </c>
      <c r="D15" s="87"/>
      <c r="E15" s="87"/>
      <c r="F15" s="88"/>
      <c r="G15" s="1"/>
    </row>
    <row r="16" spans="1:7" x14ac:dyDescent="0.25">
      <c r="A16" s="1"/>
      <c r="B16" s="6" t="s">
        <v>30</v>
      </c>
      <c r="C16" s="86" t="s">
        <v>125</v>
      </c>
      <c r="D16" s="87"/>
      <c r="E16" s="87"/>
      <c r="F16" s="88"/>
      <c r="G16" s="1"/>
    </row>
    <row r="17" spans="1:7" x14ac:dyDescent="0.25">
      <c r="A17" s="1"/>
      <c r="B17" s="6" t="s">
        <v>57</v>
      </c>
      <c r="C17" s="86" t="s">
        <v>126</v>
      </c>
      <c r="D17" s="87"/>
      <c r="E17" s="87"/>
      <c r="F17" s="88"/>
      <c r="G17" s="1"/>
    </row>
    <row r="18" spans="1:7" x14ac:dyDescent="0.25">
      <c r="A18" s="1"/>
      <c r="B18" s="6" t="s">
        <v>49</v>
      </c>
      <c r="C18" s="92" t="s">
        <v>42</v>
      </c>
      <c r="D18" s="93"/>
      <c r="E18" s="93"/>
      <c r="F18" s="94"/>
      <c r="G18" s="1"/>
    </row>
    <row r="19" spans="1:7" x14ac:dyDescent="0.25">
      <c r="A19" s="1"/>
      <c r="B19" s="6" t="s">
        <v>50</v>
      </c>
      <c r="C19" s="92" t="s">
        <v>43</v>
      </c>
      <c r="D19" s="93"/>
      <c r="E19" s="93"/>
      <c r="F19" s="94"/>
      <c r="G19" s="1"/>
    </row>
    <row r="20" spans="1:7" x14ac:dyDescent="0.25">
      <c r="A20" s="1"/>
      <c r="B20" s="6" t="s">
        <v>7</v>
      </c>
      <c r="C20" s="92" t="s">
        <v>9</v>
      </c>
      <c r="D20" s="93"/>
      <c r="E20" s="93"/>
      <c r="F20" s="94"/>
      <c r="G20" s="1"/>
    </row>
    <row r="21" spans="1:7" x14ac:dyDescent="0.25">
      <c r="A21" s="1"/>
      <c r="B21" s="6" t="s">
        <v>51</v>
      </c>
      <c r="C21" s="83" t="s">
        <v>11</v>
      </c>
      <c r="D21" s="84"/>
      <c r="E21" s="84"/>
      <c r="F21" s="85"/>
      <c r="G21" s="1"/>
    </row>
    <row r="22" spans="1:7" x14ac:dyDescent="0.25">
      <c r="A22" s="1"/>
      <c r="B22" s="6" t="s">
        <v>37</v>
      </c>
      <c r="C22" s="77" t="s">
        <v>127</v>
      </c>
      <c r="D22" s="78"/>
      <c r="E22" s="78"/>
      <c r="F22" s="79"/>
      <c r="G22" s="1"/>
    </row>
    <row r="23" spans="1:7" x14ac:dyDescent="0.25">
      <c r="A23" s="1"/>
      <c r="B23" s="6" t="s">
        <v>8</v>
      </c>
      <c r="C23" s="77" t="s">
        <v>89</v>
      </c>
      <c r="D23" s="78"/>
      <c r="E23" s="78"/>
      <c r="F23" s="79"/>
      <c r="G23" s="1"/>
    </row>
    <row r="24" spans="1:7" x14ac:dyDescent="0.25">
      <c r="A24" s="1"/>
      <c r="B24" s="6" t="s">
        <v>85</v>
      </c>
      <c r="C24" s="77" t="s">
        <v>78</v>
      </c>
      <c r="D24" s="78"/>
      <c r="E24" s="78"/>
      <c r="F24" s="79"/>
      <c r="G24" s="1"/>
    </row>
    <row r="25" spans="1:7" x14ac:dyDescent="0.25">
      <c r="A25" s="1"/>
      <c r="B25" s="6" t="s">
        <v>86</v>
      </c>
      <c r="C25" s="77" t="s">
        <v>38</v>
      </c>
      <c r="D25" s="78"/>
      <c r="E25" s="78"/>
      <c r="F25" s="79"/>
      <c r="G25" s="1"/>
    </row>
    <row r="26" spans="1:7" x14ac:dyDescent="0.25">
      <c r="A26" s="1"/>
      <c r="B26" s="6" t="s">
        <v>87</v>
      </c>
      <c r="C26" s="77" t="s">
        <v>39</v>
      </c>
      <c r="D26" s="78"/>
      <c r="E26" s="78"/>
      <c r="F26" s="79"/>
      <c r="G26" s="1"/>
    </row>
    <row r="27" spans="1:7" x14ac:dyDescent="0.25">
      <c r="A27" s="1"/>
      <c r="B27" s="6" t="s">
        <v>52</v>
      </c>
      <c r="C27" s="77" t="s">
        <v>58</v>
      </c>
      <c r="D27" s="78"/>
      <c r="E27" s="78"/>
      <c r="F27" s="79"/>
      <c r="G27" s="1"/>
    </row>
    <row r="28" spans="1:7" x14ac:dyDescent="0.25">
      <c r="A28" s="1"/>
      <c r="B28" s="6" t="s">
        <v>46</v>
      </c>
      <c r="C28" s="77" t="s">
        <v>31</v>
      </c>
      <c r="D28" s="78"/>
      <c r="E28" s="78"/>
      <c r="F28" s="79"/>
      <c r="G28" s="1"/>
    </row>
    <row r="29" spans="1:7" x14ac:dyDescent="0.25">
      <c r="A29" s="1"/>
      <c r="B29" s="6" t="s">
        <v>88</v>
      </c>
      <c r="C29" s="80" t="s">
        <v>47</v>
      </c>
      <c r="D29" s="81"/>
      <c r="E29" s="81"/>
      <c r="F29" s="8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VUDng/p04EvU9T51rQcowjL9d/5fnEo6vwDNE3X/Suxv/wmIvRacAR8En00YXQI84EYkGNVvZwoQvL1ZsV0n9g==" saltValue="5bJYHyIMebR61wYKRlgg3Q=="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55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9" t="s">
        <v>142</v>
      </c>
      <c r="C8" s="100"/>
      <c r="D8" s="101"/>
      <c r="E8" s="1"/>
    </row>
    <row r="9" spans="1:5" ht="15" customHeight="1" x14ac:dyDescent="0.25">
      <c r="A9" s="1"/>
      <c r="B9" s="52" t="s">
        <v>27</v>
      </c>
      <c r="C9" s="45" t="s">
        <v>145</v>
      </c>
      <c r="D9" s="11"/>
      <c r="E9" s="1"/>
    </row>
    <row r="10" spans="1:5" ht="15" customHeight="1" x14ac:dyDescent="0.25">
      <c r="A10" s="1"/>
      <c r="B10" s="65" t="s">
        <v>199</v>
      </c>
      <c r="C10" s="66">
        <v>5257167</v>
      </c>
      <c r="D10" s="14" t="s">
        <v>3</v>
      </c>
      <c r="E10" s="1"/>
    </row>
    <row r="11" spans="1:5" x14ac:dyDescent="0.25">
      <c r="A11" s="1"/>
      <c r="B11" s="65" t="s">
        <v>200</v>
      </c>
      <c r="C11" s="66">
        <v>55042</v>
      </c>
      <c r="D11" s="14" t="s">
        <v>3</v>
      </c>
      <c r="E11" s="1"/>
    </row>
    <row r="12" spans="1:5" x14ac:dyDescent="0.25">
      <c r="A12" s="1"/>
      <c r="B12" s="65" t="s">
        <v>201</v>
      </c>
      <c r="C12" s="66">
        <v>82874.25</v>
      </c>
      <c r="D12" s="14" t="s">
        <v>3</v>
      </c>
      <c r="E12" s="1"/>
    </row>
    <row r="13" spans="1:5" x14ac:dyDescent="0.25">
      <c r="A13" s="1"/>
      <c r="B13" s="65"/>
      <c r="C13" s="66"/>
      <c r="D13" s="14" t="s">
        <v>3</v>
      </c>
      <c r="E13" s="1"/>
    </row>
    <row r="14" spans="1:5" x14ac:dyDescent="0.25">
      <c r="A14" s="1"/>
      <c r="B14" s="65"/>
      <c r="C14" s="66"/>
      <c r="D14" s="14" t="s">
        <v>3</v>
      </c>
      <c r="E14" s="1"/>
    </row>
    <row r="15" spans="1:5" x14ac:dyDescent="0.25">
      <c r="A15" s="1"/>
      <c r="B15" s="65"/>
      <c r="C15" s="66"/>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3" t="s">
        <v>143</v>
      </c>
      <c r="C19" s="12">
        <f>SUM(C10:C18)</f>
        <v>5395083.25</v>
      </c>
      <c r="D19" s="13" t="s">
        <v>3</v>
      </c>
      <c r="E19" s="1"/>
    </row>
    <row r="20" spans="1:5" x14ac:dyDescent="0.25">
      <c r="A20" s="1"/>
      <c r="B20" s="53" t="s">
        <v>144</v>
      </c>
      <c r="C20" s="12">
        <f>C19*(1+'Fane 13. Nøgletal'!C11)^2</f>
        <v>6134186.4024411924</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zrE2vQWXGLY9D8+/F97mXL/G1WcXb9t3Bxnwi2BWWVET2rQGifcvx+D3eo7hrbXs/Z5L/iJsIcVLfonUjEFQKw==" saltValue="AOcHot2ZF9sGpZQwFywQf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8" t="s">
        <v>172</v>
      </c>
      <c r="C3" s="98"/>
      <c r="D3" s="98"/>
      <c r="E3" s="1"/>
    </row>
    <row r="4" spans="1:5" ht="15" customHeight="1" x14ac:dyDescent="0.25">
      <c r="A4" s="1"/>
      <c r="B4" s="98"/>
      <c r="C4" s="98"/>
      <c r="D4" s="98"/>
      <c r="E4" s="1"/>
    </row>
    <row r="5" spans="1:5" ht="15" customHeight="1" x14ac:dyDescent="0.25">
      <c r="A5" s="1"/>
      <c r="B5" s="98"/>
      <c r="C5" s="98"/>
      <c r="D5" s="98"/>
      <c r="E5" s="1"/>
    </row>
    <row r="6" spans="1:5" ht="15" customHeight="1" x14ac:dyDescent="0.25">
      <c r="A6" s="1"/>
      <c r="B6" s="68"/>
      <c r="C6" s="68"/>
      <c r="D6" s="68"/>
      <c r="E6" s="1"/>
    </row>
    <row r="7" spans="1:5" x14ac:dyDescent="0.25">
      <c r="A7" s="1"/>
      <c r="B7" s="1"/>
      <c r="C7" s="1"/>
      <c r="D7" s="1"/>
      <c r="E7" s="1"/>
    </row>
    <row r="8" spans="1:5" x14ac:dyDescent="0.25">
      <c r="A8" s="1"/>
      <c r="B8" s="99" t="s">
        <v>175</v>
      </c>
      <c r="C8" s="100"/>
      <c r="D8" s="101"/>
      <c r="E8" s="1"/>
    </row>
    <row r="9" spans="1:5" x14ac:dyDescent="0.25">
      <c r="A9" s="1"/>
      <c r="B9" s="56" t="s">
        <v>176</v>
      </c>
      <c r="C9" s="9">
        <v>2129097.2693704758</v>
      </c>
      <c r="D9" s="39" t="s">
        <v>3</v>
      </c>
      <c r="E9" s="1"/>
    </row>
    <row r="10" spans="1:5" x14ac:dyDescent="0.25">
      <c r="A10" s="1"/>
      <c r="B10" s="56" t="s">
        <v>174</v>
      </c>
      <c r="C10" s="9">
        <v>325440.13617800362</v>
      </c>
      <c r="D10" s="14" t="s">
        <v>3</v>
      </c>
      <c r="E10" s="1"/>
    </row>
    <row r="11" spans="1:5" x14ac:dyDescent="0.25">
      <c r="A11" s="1"/>
      <c r="B11" s="53"/>
      <c r="C11" s="54"/>
      <c r="D11" s="19"/>
      <c r="E11" s="1"/>
    </row>
    <row r="12" spans="1:5" ht="53.85" customHeight="1" x14ac:dyDescent="0.25">
      <c r="A12" s="1"/>
      <c r="B12" s="108" t="s">
        <v>173</v>
      </c>
      <c r="C12" s="109"/>
      <c r="D12" s="110"/>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0</v>
      </c>
      <c r="D15" s="14" t="s">
        <v>3</v>
      </c>
      <c r="E15" s="1"/>
    </row>
    <row r="16" spans="1:5" x14ac:dyDescent="0.25">
      <c r="A16" s="1"/>
      <c r="B16" s="56" t="s">
        <v>185</v>
      </c>
      <c r="C16" s="9">
        <f>IF(SUM(C9)&gt;0,SUM(C9),0)</f>
        <v>2129097.2693704758</v>
      </c>
      <c r="D16" s="14" t="s">
        <v>3</v>
      </c>
      <c r="E16" s="1"/>
    </row>
    <row r="17" spans="1:5" ht="26.25" x14ac:dyDescent="0.25">
      <c r="A17" s="1"/>
      <c r="B17" s="72" t="s">
        <v>179</v>
      </c>
      <c r="C17" s="62">
        <f>IF(SUM(C15:C16)&gt;0,0,SUM(C15:C16))</f>
        <v>0</v>
      </c>
      <c r="D17" s="17" t="s">
        <v>3</v>
      </c>
      <c r="E17" s="1"/>
    </row>
    <row r="18" spans="1:5" x14ac:dyDescent="0.25">
      <c r="A18" s="1"/>
      <c r="B18" s="53"/>
      <c r="C18" s="54"/>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15897641.249352938</v>
      </c>
      <c r="D21" s="14" t="s">
        <v>3</v>
      </c>
      <c r="E21" s="1"/>
    </row>
    <row r="22" spans="1:5" x14ac:dyDescent="0.25">
      <c r="A22" s="1"/>
      <c r="B22" s="56" t="s">
        <v>182</v>
      </c>
      <c r="C22" s="9">
        <v>15268918.390000001</v>
      </c>
      <c r="D22" s="14" t="s">
        <v>3</v>
      </c>
      <c r="E22" s="1"/>
    </row>
    <row r="23" spans="1:5" x14ac:dyDescent="0.25">
      <c r="A23" s="1"/>
      <c r="B23" s="56" t="s">
        <v>28</v>
      </c>
      <c r="C23" s="9">
        <v>0</v>
      </c>
      <c r="D23" s="14" t="s">
        <v>3</v>
      </c>
      <c r="E23" s="1"/>
    </row>
    <row r="24" spans="1:5" x14ac:dyDescent="0.25">
      <c r="A24" s="1"/>
      <c r="B24" s="74" t="s">
        <v>183</v>
      </c>
      <c r="C24" s="46">
        <f>C21-C22-C23</f>
        <v>628722.85935293697</v>
      </c>
      <c r="D24" s="17" t="s">
        <v>3</v>
      </c>
      <c r="E24" s="1"/>
    </row>
    <row r="25" spans="1:5" x14ac:dyDescent="0.25">
      <c r="A25" s="1"/>
      <c r="B25" s="53"/>
      <c r="C25" s="54"/>
      <c r="D25" s="19"/>
      <c r="E25" s="1"/>
    </row>
    <row r="26" spans="1:5" x14ac:dyDescent="0.25">
      <c r="A26" s="1"/>
      <c r="B26" s="1"/>
      <c r="C26" s="1"/>
      <c r="D26" s="1"/>
      <c r="E26" s="1"/>
    </row>
    <row r="27" spans="1:5" x14ac:dyDescent="0.25">
      <c r="A27" s="1"/>
      <c r="B27" s="99" t="s">
        <v>184</v>
      </c>
      <c r="C27" s="100"/>
      <c r="D27" s="101"/>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1"/>
      <c r="C31" s="112"/>
      <c r="D31" s="113"/>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J12X6qnSRCLA19wE254H+xAGVi186B7Sype2GFTWkeGqaApF5oYdD2IW8aNMPW4mqHK92JIvvSlqoQ0aHWr00w==" saltValue="YVCjDXPwaT1tTvnOmCXGj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8" t="s">
        <v>96</v>
      </c>
      <c r="C3" s="98"/>
      <c r="D3" s="98"/>
      <c r="E3" s="1"/>
    </row>
    <row r="4" spans="1:5" ht="15" customHeight="1" x14ac:dyDescent="0.25">
      <c r="A4" s="1"/>
      <c r="B4" s="98"/>
      <c r="C4" s="98"/>
      <c r="D4" s="98"/>
      <c r="E4" s="1"/>
    </row>
    <row r="5" spans="1:5" x14ac:dyDescent="0.25">
      <c r="A5" s="1"/>
      <c r="B5" s="98"/>
      <c r="C5" s="98"/>
      <c r="D5" s="98"/>
      <c r="E5" s="1"/>
    </row>
    <row r="6" spans="1:5" x14ac:dyDescent="0.25">
      <c r="A6" s="1"/>
      <c r="B6" s="1"/>
      <c r="C6" s="1"/>
      <c r="D6" s="1"/>
      <c r="E6" s="1"/>
    </row>
    <row r="7" spans="1:5" x14ac:dyDescent="0.25">
      <c r="A7" s="1"/>
      <c r="B7" s="1"/>
      <c r="C7" s="1"/>
      <c r="D7" s="1"/>
      <c r="E7" s="1"/>
    </row>
    <row r="8" spans="1:5" x14ac:dyDescent="0.25">
      <c r="A8" s="1"/>
      <c r="B8" s="99" t="s">
        <v>97</v>
      </c>
      <c r="C8" s="100"/>
      <c r="D8" s="101"/>
      <c r="E8" s="1"/>
    </row>
    <row r="9" spans="1:5" ht="15" customHeight="1" x14ac:dyDescent="0.25">
      <c r="A9" s="1"/>
      <c r="B9" s="114" t="s">
        <v>123</v>
      </c>
      <c r="C9" s="115"/>
      <c r="D9" s="116"/>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9Ogbj6GqTOKvkQulxdnEzZ5MuRN0J5I6y9Yzs0DR/eAqncxdEB6zTVNrwV38cazTyPmGRVIfA/mQ8W+OJk0pw==" saltValue="nqOdX07meHFoqSZLtu5qa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90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74</v>
      </c>
      <c r="C8" s="100"/>
      <c r="D8" s="100"/>
      <c r="E8" s="100"/>
      <c r="F8" s="100"/>
      <c r="G8" s="100"/>
      <c r="H8" s="100"/>
      <c r="I8" s="100"/>
      <c r="J8" s="100"/>
      <c r="K8" s="101"/>
      <c r="L8" s="1"/>
    </row>
    <row r="9" spans="1:12" ht="39.75" customHeight="1" x14ac:dyDescent="0.25">
      <c r="A9" s="1"/>
      <c r="B9" s="18" t="s">
        <v>0</v>
      </c>
      <c r="C9" s="18" t="s">
        <v>1</v>
      </c>
      <c r="D9" s="117" t="s">
        <v>83</v>
      </c>
      <c r="E9" s="118"/>
      <c r="F9" s="117" t="s">
        <v>2</v>
      </c>
      <c r="G9" s="118"/>
      <c r="H9" s="117" t="s">
        <v>84</v>
      </c>
      <c r="I9" s="118"/>
      <c r="J9" s="117" t="s">
        <v>25</v>
      </c>
      <c r="K9" s="118"/>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3" t="s">
        <v>146</v>
      </c>
      <c r="C11" s="54"/>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z11uejJhTuiIv5qENzkEgweZvZuHKVpF4j6dy+5A35YPCUTXtIDNN8bBG48xcunnVx8m3YmNNV7sclsqCzUlrw==" saltValue="LVQpH6gLYDxLlMBIb+jUJ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34</v>
      </c>
      <c r="C8" s="54"/>
      <c r="D8" s="54"/>
      <c r="E8" s="54"/>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c r="C11" s="21"/>
      <c r="D11" s="14" t="s">
        <v>3</v>
      </c>
      <c r="E11" s="9"/>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3" t="s">
        <v>112</v>
      </c>
      <c r="C17" s="12">
        <f>SUM(C10:C16)</f>
        <v>0</v>
      </c>
      <c r="D17" s="13" t="s">
        <v>3</v>
      </c>
      <c r="E17" s="12">
        <f>SUM(E10:E16)</f>
        <v>0</v>
      </c>
      <c r="F17" s="13" t="s">
        <v>3</v>
      </c>
      <c r="G17" s="1"/>
    </row>
    <row r="18" spans="1:7" x14ac:dyDescent="0.25">
      <c r="A18" s="1"/>
      <c r="B18" s="53" t="s">
        <v>147</v>
      </c>
      <c r="C18" s="12">
        <f>C17*(1+'Fane 13. Nøgletal'!C11)</f>
        <v>0</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YL9WsNvOhV4X/ab5I4QVqE3+pUgII4mkUXOU9oli2RMfOE/5PQqV4VOoQDy4kXwsD5sFGPtJBXuE9Nxko4FulQ==" saltValue="1GbYX3cd5EcKk+tpf/k5A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150</v>
      </c>
      <c r="C8" s="100"/>
      <c r="D8" s="100"/>
      <c r="E8" s="100"/>
      <c r="F8" s="101"/>
      <c r="G8" s="1"/>
    </row>
    <row r="9" spans="1:7" x14ac:dyDescent="0.25">
      <c r="A9" s="1"/>
      <c r="B9" s="72" t="s">
        <v>15</v>
      </c>
      <c r="C9" s="74" t="s">
        <v>10</v>
      </c>
      <c r="D9" s="75"/>
      <c r="E9" s="74" t="s">
        <v>26</v>
      </c>
      <c r="F9" s="27"/>
      <c r="G9" s="1"/>
    </row>
    <row r="10" spans="1:7" x14ac:dyDescent="0.25">
      <c r="A10" s="1"/>
      <c r="B10" s="23" t="s">
        <v>202</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3" t="s">
        <v>148</v>
      </c>
      <c r="C13" s="12">
        <f>SUM(C10:C12)</f>
        <v>0</v>
      </c>
      <c r="D13" s="13" t="s">
        <v>3</v>
      </c>
      <c r="E13" s="12">
        <f>SUM(E10:E12)</f>
        <v>0</v>
      </c>
      <c r="F13" s="13" t="s">
        <v>3</v>
      </c>
      <c r="G13" s="1"/>
    </row>
    <row r="14" spans="1:7" x14ac:dyDescent="0.25">
      <c r="A14" s="1"/>
      <c r="B14" s="53"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sPvQpD05veoyeWigNG/0rSXz+tOKbwSCfNbft4OBufPzVMB9DyhkpHaN2nIxZsh0qgquvQBkA+oYmL7C/Z3LA==" saltValue="F2tkQ2QxhyXbMjzZuQCyu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93</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x14ac:dyDescent="0.25">
      <c r="A7" s="1"/>
      <c r="B7" s="1"/>
      <c r="C7" s="1"/>
      <c r="D7" s="1"/>
      <c r="E7" s="1"/>
      <c r="F7" s="1"/>
      <c r="G7" s="1"/>
    </row>
    <row r="8" spans="1:7" x14ac:dyDescent="0.25">
      <c r="A8" s="1"/>
      <c r="B8" s="99" t="s">
        <v>59</v>
      </c>
      <c r="C8" s="100"/>
      <c r="D8" s="100"/>
      <c r="E8" s="100"/>
      <c r="F8" s="101"/>
      <c r="G8" s="1"/>
    </row>
    <row r="9" spans="1:7" ht="15" customHeight="1" x14ac:dyDescent="0.25">
      <c r="A9" s="1"/>
      <c r="B9" s="55" t="s">
        <v>60</v>
      </c>
      <c r="C9" s="119" t="s">
        <v>10</v>
      </c>
      <c r="D9" s="120"/>
      <c r="E9" s="119" t="s">
        <v>26</v>
      </c>
      <c r="F9" s="120"/>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953b13a3i4sv8MqbJ79/BBhzWhpQ4eagfXd/2FYGIxfjqLY0c0m+TFxW7Vc+Q+DbXbP9KtvEDYAaW6voAUSuCQ==" saltValue="Ou1aRAWtxiKWCAJL+IJvt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94</v>
      </c>
      <c r="C3" s="98"/>
      <c r="D3" s="98"/>
      <c r="E3" s="98"/>
      <c r="F3" s="98"/>
      <c r="G3" s="1"/>
    </row>
    <row r="4" spans="1:7" ht="15" customHeight="1" x14ac:dyDescent="0.25">
      <c r="A4" s="1"/>
      <c r="B4" s="98"/>
      <c r="C4" s="98"/>
      <c r="D4" s="98"/>
      <c r="E4" s="98"/>
      <c r="F4" s="98"/>
      <c r="G4" s="1"/>
    </row>
    <row r="5" spans="1:7" x14ac:dyDescent="0.25">
      <c r="A5" s="1"/>
      <c r="B5" s="98"/>
      <c r="C5" s="98"/>
      <c r="D5" s="98"/>
      <c r="E5" s="98"/>
      <c r="F5" s="98"/>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9" t="s">
        <v>152</v>
      </c>
      <c r="C8" s="100"/>
      <c r="D8" s="100"/>
      <c r="E8" s="100"/>
      <c r="F8" s="101"/>
      <c r="G8" s="1"/>
    </row>
    <row r="9" spans="1:7" x14ac:dyDescent="0.25">
      <c r="A9" s="1"/>
      <c r="B9" s="55" t="s">
        <v>16</v>
      </c>
      <c r="C9" s="52" t="s">
        <v>10</v>
      </c>
      <c r="D9" s="27"/>
      <c r="E9" s="52" t="s">
        <v>26</v>
      </c>
      <c r="F9" s="27"/>
      <c r="G9" s="1"/>
    </row>
    <row r="10" spans="1:7" x14ac:dyDescent="0.25">
      <c r="A10" s="1"/>
      <c r="B10" s="60" t="s">
        <v>191</v>
      </c>
      <c r="C10" s="9">
        <v>0</v>
      </c>
      <c r="D10" s="14" t="s">
        <v>3</v>
      </c>
      <c r="E10" s="9">
        <v>0</v>
      </c>
      <c r="F10" s="14" t="s">
        <v>3</v>
      </c>
      <c r="G10" s="1"/>
    </row>
    <row r="11" spans="1:7" x14ac:dyDescent="0.25">
      <c r="A11" s="1"/>
      <c r="B11" s="53" t="s">
        <v>122</v>
      </c>
      <c r="C11" s="12">
        <f>SUM(C10:C10)</f>
        <v>0</v>
      </c>
      <c r="D11" s="13" t="s">
        <v>3</v>
      </c>
      <c r="E11" s="12">
        <f>SUM(E10:E10)</f>
        <v>0</v>
      </c>
      <c r="F11" s="13" t="s">
        <v>3</v>
      </c>
      <c r="G11" s="1"/>
    </row>
    <row r="12" spans="1:7" x14ac:dyDescent="0.25">
      <c r="A12" s="1"/>
      <c r="B12" s="53"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WliVbJSGwZrhXgvS+oqu50wmL6Guf9Kf3mRmPMZ5Esskq4mMFZVnuTqypFSt5mqC9eaJzJGc19mtg+0b92bWA==" saltValue="BVwryBlLUMvH0dZJXf7bR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8" t="s">
        <v>95</v>
      </c>
      <c r="C3" s="98"/>
      <c r="D3" s="1"/>
    </row>
    <row r="4" spans="1:4" ht="15" customHeight="1" x14ac:dyDescent="0.25">
      <c r="A4" s="1"/>
      <c r="B4" s="98"/>
      <c r="C4" s="98"/>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3"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9"/>
      <c r="C12" s="101"/>
      <c r="D12" s="1"/>
    </row>
    <row r="13" spans="1:4" x14ac:dyDescent="0.25">
      <c r="A13" s="1"/>
      <c r="B13" s="1"/>
      <c r="C13" s="34"/>
      <c r="D13" s="1"/>
    </row>
    <row r="14" spans="1:4" x14ac:dyDescent="0.25">
      <c r="A14" s="1"/>
      <c r="B14" s="1"/>
      <c r="C14" s="34"/>
      <c r="D14" s="1"/>
    </row>
    <row r="15" spans="1:4" x14ac:dyDescent="0.25">
      <c r="A15" s="1"/>
      <c r="B15" s="53"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4">
        <v>0</v>
      </c>
      <c r="D18" s="1"/>
    </row>
    <row r="19" spans="1:4" x14ac:dyDescent="0.25">
      <c r="A19" s="1"/>
      <c r="B19" s="53"/>
      <c r="C19" s="35"/>
      <c r="D19" s="1"/>
    </row>
    <row r="20" spans="1:4" x14ac:dyDescent="0.25">
      <c r="A20" s="1"/>
      <c r="B20" s="1"/>
      <c r="C20" s="34"/>
      <c r="D20" s="1"/>
    </row>
    <row r="21" spans="1:4" x14ac:dyDescent="0.25">
      <c r="A21" s="1"/>
      <c r="B21" s="1"/>
      <c r="C21" s="34"/>
      <c r="D21" s="1"/>
    </row>
    <row r="22" spans="1:4" x14ac:dyDescent="0.25">
      <c r="A22" s="1"/>
      <c r="B22" s="53" t="s">
        <v>45</v>
      </c>
      <c r="C22" s="35"/>
      <c r="D22" s="1"/>
    </row>
    <row r="23" spans="1:4" x14ac:dyDescent="0.25">
      <c r="A23" s="1"/>
      <c r="B23" s="28" t="s">
        <v>56</v>
      </c>
      <c r="C23" s="36">
        <v>0.02</v>
      </c>
      <c r="D23" s="1"/>
    </row>
    <row r="24" spans="1:4" x14ac:dyDescent="0.25">
      <c r="A24" s="1"/>
      <c r="B24" s="53"/>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vEWSVe62X994Lqm59gBchG6k4gFtPBTFBwcDH0SpcVIACrQsB2Ax1TRhM5ftbbZgqNedpHscG9WJqKMZhGLbOQ==" saltValue="I57fR7BySYCrxZx7aJvvE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3" t="s">
        <v>12</v>
      </c>
      <c r="C8" s="54"/>
      <c r="D8" s="19"/>
      <c r="E8" s="1"/>
    </row>
    <row r="9" spans="1:5" x14ac:dyDescent="0.25">
      <c r="A9" s="1"/>
      <c r="B9" s="47" t="s">
        <v>68</v>
      </c>
      <c r="C9" s="7">
        <f>'Fane 3. Omkostninger i ØR2024'!C20</f>
        <v>10126294.077679034</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671373.29735011992</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-92636.846294283998</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10705030.52873487</v>
      </c>
      <c r="D20" s="11" t="s">
        <v>3</v>
      </c>
      <c r="E20" s="1"/>
    </row>
    <row r="21" spans="1:5" ht="15" customHeight="1" x14ac:dyDescent="0.25">
      <c r="A21" s="1"/>
      <c r="B21" s="53" t="s">
        <v>11</v>
      </c>
      <c r="C21" s="54"/>
      <c r="D21" s="19"/>
      <c r="E21" s="1"/>
    </row>
    <row r="22" spans="1:5" ht="15" customHeight="1" x14ac:dyDescent="0.25">
      <c r="A22" s="1"/>
      <c r="B22" s="55" t="s">
        <v>11</v>
      </c>
      <c r="C22" s="10">
        <f>'Fane 6. Ikke-påvirkelige omk.'!C20</f>
        <v>6134186.4024411924</v>
      </c>
      <c r="D22" s="11" t="s">
        <v>3</v>
      </c>
      <c r="E22" s="1"/>
    </row>
    <row r="23" spans="1:5" ht="15" customHeight="1" x14ac:dyDescent="0.25">
      <c r="A23" s="1"/>
      <c r="B23" s="53" t="s">
        <v>39</v>
      </c>
      <c r="C23" s="54"/>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4"/>
      <c r="D29" s="19"/>
      <c r="E29" s="1"/>
    </row>
    <row r="30" spans="1:5" x14ac:dyDescent="0.25">
      <c r="A30" s="1"/>
      <c r="B30" s="58" t="s">
        <v>66</v>
      </c>
      <c r="C30" s="10">
        <f>'Fane 7. Kontrol af ØR2023'!C30</f>
        <v>0</v>
      </c>
      <c r="D30" s="11" t="s">
        <v>3</v>
      </c>
      <c r="E30" s="1"/>
    </row>
    <row r="31" spans="1:5" x14ac:dyDescent="0.25">
      <c r="A31" s="1"/>
      <c r="B31" s="25" t="s">
        <v>70</v>
      </c>
      <c r="C31" s="54"/>
      <c r="D31" s="19"/>
      <c r="E31" s="1"/>
    </row>
    <row r="32" spans="1:5" x14ac:dyDescent="0.25">
      <c r="A32" s="1"/>
      <c r="B32" s="58" t="s">
        <v>71</v>
      </c>
      <c r="C32" s="10">
        <f>'Fane 8. Skattesagen'!C14</f>
        <v>0</v>
      </c>
      <c r="D32" s="11" t="s">
        <v>3</v>
      </c>
      <c r="E32" s="1"/>
    </row>
    <row r="33" spans="1:5" x14ac:dyDescent="0.25">
      <c r="A33" s="1"/>
      <c r="B33" s="53" t="s">
        <v>69</v>
      </c>
      <c r="C33" s="29">
        <f>SUM(C20,C22,C28,C30,C32)</f>
        <v>16839216.931176063</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CitBfV+Gr4rpS+xZEnm7XHajyY2vf1g7G5gFiqPq77xUDSbrPtgla5bMWzEVer+88Esl1h+serT57wKUPVwcA==" saltValue="ucyUwwj5hGOPWLw8nvSJk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129</v>
      </c>
      <c r="C3" s="95"/>
      <c r="D3" s="95"/>
      <c r="E3" s="1"/>
    </row>
    <row r="4" spans="1:5" ht="15" customHeight="1" x14ac:dyDescent="0.25">
      <c r="A4" s="1"/>
      <c r="B4" s="95"/>
      <c r="C4" s="95"/>
      <c r="D4" s="95"/>
      <c r="E4" s="1"/>
    </row>
    <row r="5" spans="1:5" x14ac:dyDescent="0.25">
      <c r="A5" s="1"/>
      <c r="B5" s="96"/>
      <c r="C5" s="96"/>
      <c r="D5" s="96"/>
      <c r="E5" s="1"/>
    </row>
    <row r="6" spans="1:5" x14ac:dyDescent="0.25">
      <c r="A6" s="1"/>
      <c r="B6" s="67"/>
      <c r="C6" s="67"/>
      <c r="D6" s="67"/>
      <c r="E6" s="1"/>
    </row>
    <row r="7" spans="1:5" x14ac:dyDescent="0.25">
      <c r="A7" s="1"/>
      <c r="B7" s="1"/>
      <c r="C7" s="1"/>
      <c r="D7" s="1"/>
      <c r="E7" s="1"/>
    </row>
    <row r="8" spans="1:5" x14ac:dyDescent="0.25">
      <c r="A8" s="1"/>
      <c r="B8" s="53" t="s">
        <v>12</v>
      </c>
      <c r="C8" s="54"/>
      <c r="D8" s="19"/>
      <c r="E8" s="1"/>
    </row>
    <row r="9" spans="1:5" ht="15" customHeight="1" x14ac:dyDescent="0.25">
      <c r="A9" s="1"/>
      <c r="B9" s="47" t="s">
        <v>72</v>
      </c>
      <c r="C9" s="7">
        <f>'Fane 2.1. Økonomisk ramme 2025'!C20</f>
        <v>10705030.52873487</v>
      </c>
      <c r="D9" s="8" t="s">
        <v>3</v>
      </c>
      <c r="E9" s="1"/>
    </row>
    <row r="10" spans="1:5" ht="15" customHeight="1" x14ac:dyDescent="0.25">
      <c r="A10" s="1"/>
      <c r="B10" s="51" t="s">
        <v>17</v>
      </c>
      <c r="C10" s="41">
        <f>C9*'Fane 13. Nøgletal'!C11</f>
        <v>709743.52405512193</v>
      </c>
      <c r="D10" s="8" t="s">
        <v>3</v>
      </c>
      <c r="E10" s="1"/>
    </row>
    <row r="11" spans="1:5" ht="15" customHeight="1" x14ac:dyDescent="0.25">
      <c r="A11" s="1"/>
      <c r="B11" s="51" t="s">
        <v>9</v>
      </c>
      <c r="C11" s="9">
        <f>-SUM(C9:C10)*'Fane 5. Individuelt eff. krav'!C9</f>
        <v>0</v>
      </c>
      <c r="D11" s="8" t="s">
        <v>3</v>
      </c>
      <c r="E11" s="1"/>
    </row>
    <row r="12" spans="1:5" ht="15" customHeight="1" x14ac:dyDescent="0.25">
      <c r="A12" s="1"/>
      <c r="B12" s="51" t="s">
        <v>21</v>
      </c>
      <c r="C12" s="9">
        <f>-'Fane 4.1. Gen. krav - drift'!C22</f>
        <v>-96803.095819523136</v>
      </c>
      <c r="D12" s="8" t="s">
        <v>3</v>
      </c>
      <c r="E12" s="1"/>
    </row>
    <row r="13" spans="1:5" ht="15" customHeight="1" x14ac:dyDescent="0.25">
      <c r="A13" s="1"/>
      <c r="B13" s="51" t="s">
        <v>22</v>
      </c>
      <c r="C13" s="9">
        <f>-'Fane 4.2. Gen. krav - anlæg'!C22</f>
        <v>0</v>
      </c>
      <c r="D13" s="8" t="s">
        <v>3</v>
      </c>
      <c r="E13" s="1"/>
    </row>
    <row r="14" spans="1:5" ht="15" customHeight="1" x14ac:dyDescent="0.25">
      <c r="A14" s="1"/>
      <c r="B14" s="52" t="s">
        <v>19</v>
      </c>
      <c r="C14" s="10">
        <f>SUM(C9:C13)</f>
        <v>11317970.956970468</v>
      </c>
      <c r="D14" s="11" t="s">
        <v>3</v>
      </c>
      <c r="E14" s="1"/>
    </row>
    <row r="15" spans="1:5" x14ac:dyDescent="0.25">
      <c r="A15" s="1"/>
      <c r="B15" s="53" t="s">
        <v>11</v>
      </c>
      <c r="C15" s="54"/>
      <c r="D15" s="19"/>
      <c r="E15" s="1"/>
    </row>
    <row r="16" spans="1:5" ht="15" customHeight="1" x14ac:dyDescent="0.25">
      <c r="A16" s="1"/>
      <c r="B16" s="55" t="s">
        <v>11</v>
      </c>
      <c r="C16" s="10">
        <f>'Fane 6. Ikke-påvirkelige omk.'!C20*(1+'Fane 13. Nøgletal'!C11)</f>
        <v>6540882.960923044</v>
      </c>
      <c r="D16" s="11" t="s">
        <v>3</v>
      </c>
      <c r="E16" s="1"/>
    </row>
    <row r="17" spans="1:5" x14ac:dyDescent="0.25">
      <c r="A17" s="1"/>
      <c r="B17" s="25" t="s">
        <v>65</v>
      </c>
      <c r="C17" s="54"/>
      <c r="D17" s="19"/>
      <c r="E17" s="1"/>
    </row>
    <row r="18" spans="1:5" ht="15" customHeight="1" x14ac:dyDescent="0.25">
      <c r="A18" s="1"/>
      <c r="B18" s="45" t="s">
        <v>66</v>
      </c>
      <c r="C18" s="10">
        <f>'Fane 7. Kontrol af ØR2023'!C30</f>
        <v>0</v>
      </c>
      <c r="D18" s="11" t="s">
        <v>3</v>
      </c>
      <c r="E18" s="1"/>
    </row>
    <row r="19" spans="1:5" x14ac:dyDescent="0.25">
      <c r="A19" s="1"/>
      <c r="B19" s="25" t="s">
        <v>70</v>
      </c>
      <c r="C19" s="54"/>
      <c r="D19" s="19"/>
      <c r="E19" s="1"/>
    </row>
    <row r="20" spans="1:5" x14ac:dyDescent="0.25">
      <c r="A20" s="1"/>
      <c r="B20" s="58" t="s">
        <v>71</v>
      </c>
      <c r="C20" s="10">
        <f>'Fane 8. Skattesagen'!C15</f>
        <v>0</v>
      </c>
      <c r="D20" s="11" t="s">
        <v>3</v>
      </c>
      <c r="E20" s="1"/>
    </row>
    <row r="21" spans="1:5" x14ac:dyDescent="0.25">
      <c r="A21" s="1"/>
      <c r="B21" s="53" t="s">
        <v>73</v>
      </c>
      <c r="C21" s="12">
        <f>SUM(C14,C16,C18,C20)</f>
        <v>17858853.917893514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ReXKtNmvF0WxrW8IU1FnCDsK9vL8chp5D4E1e/PsZWPQEa4d8WDlqh4mgZolmi8+rKIkqxnagVn6Bfs/z7fxg==" saltValue="A83VrTXQOMsIJeR8hWvug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3" t="s">
        <v>12</v>
      </c>
      <c r="C8" s="54"/>
      <c r="D8" s="19"/>
      <c r="E8" s="1"/>
    </row>
    <row r="9" spans="1:5" ht="15" customHeight="1" x14ac:dyDescent="0.25">
      <c r="A9" s="1"/>
      <c r="B9" s="47" t="s">
        <v>108</v>
      </c>
      <c r="C9" s="7">
        <f>'Fane 2.2. Økonomisk ramme 2026'!C14</f>
        <v>11317970.956970468</v>
      </c>
      <c r="D9" s="8" t="s">
        <v>3</v>
      </c>
      <c r="E9" s="1"/>
    </row>
    <row r="10" spans="1:5" ht="15" customHeight="1" x14ac:dyDescent="0.25">
      <c r="A10" s="1"/>
      <c r="B10" s="51" t="s">
        <v>17</v>
      </c>
      <c r="C10" s="41">
        <f>C9*'Fane 13. Nøgletal'!C11</f>
        <v>750381.47444714198</v>
      </c>
      <c r="D10" s="8" t="s">
        <v>3</v>
      </c>
      <c r="E10" s="1"/>
    </row>
    <row r="11" spans="1:5" ht="15" customHeight="1" x14ac:dyDescent="0.25">
      <c r="A11" s="1"/>
      <c r="B11" s="51" t="s">
        <v>9</v>
      </c>
      <c r="C11" s="9">
        <f>-SUM(C9:C10)*'Fane 5. Individuelt eff. krav'!C9</f>
        <v>0</v>
      </c>
      <c r="D11" s="8" t="s">
        <v>3</v>
      </c>
      <c r="E11" s="1"/>
    </row>
    <row r="12" spans="1:5" ht="15" customHeight="1" x14ac:dyDescent="0.25">
      <c r="A12" s="1"/>
      <c r="B12" s="51" t="s">
        <v>21</v>
      </c>
      <c r="C12" s="9">
        <f>-'Fane 4.1. Gen. krav - drift'!C27</f>
        <v>-101156.71825091036</v>
      </c>
      <c r="D12" s="8" t="s">
        <v>3</v>
      </c>
      <c r="E12" s="1"/>
    </row>
    <row r="13" spans="1:5" ht="15" customHeight="1" x14ac:dyDescent="0.25">
      <c r="A13" s="1"/>
      <c r="B13" s="51" t="s">
        <v>22</v>
      </c>
      <c r="C13" s="9">
        <f>-'Fane 4.2. Gen. krav - anlæg'!C27</f>
        <v>0</v>
      </c>
      <c r="D13" s="8" t="s">
        <v>3</v>
      </c>
      <c r="E13" s="1"/>
    </row>
    <row r="14" spans="1:5" ht="15" customHeight="1" x14ac:dyDescent="0.25">
      <c r="A14" s="1"/>
      <c r="B14" s="52" t="s">
        <v>19</v>
      </c>
      <c r="C14" s="10">
        <f>SUM(C9:C13)</f>
        <v>11967195.713166701</v>
      </c>
      <c r="D14" s="11" t="s">
        <v>3</v>
      </c>
      <c r="E14" s="1"/>
    </row>
    <row r="15" spans="1:5" x14ac:dyDescent="0.25">
      <c r="A15" s="1"/>
      <c r="B15" s="53" t="s">
        <v>11</v>
      </c>
      <c r="C15" s="54"/>
      <c r="D15" s="19"/>
      <c r="E15" s="1"/>
    </row>
    <row r="16" spans="1:5" ht="15" customHeight="1" x14ac:dyDescent="0.25">
      <c r="A16" s="1"/>
      <c r="B16" s="55" t="s">
        <v>11</v>
      </c>
      <c r="C16" s="10">
        <f>'Fane 6. Ikke-påvirkelige omk.'!C20*(1+'Fane 13. Nøgletal'!C11)^2</f>
        <v>6974543.5012322413</v>
      </c>
      <c r="D16" s="11" t="s">
        <v>3</v>
      </c>
      <c r="E16" s="1"/>
    </row>
    <row r="17" spans="1:5" x14ac:dyDescent="0.25">
      <c r="A17" s="1"/>
      <c r="B17" s="25" t="s">
        <v>65</v>
      </c>
      <c r="C17" s="54"/>
      <c r="D17" s="19"/>
      <c r="E17" s="1"/>
    </row>
    <row r="18" spans="1:5" ht="15" customHeight="1" x14ac:dyDescent="0.25">
      <c r="A18" s="1"/>
      <c r="B18" s="45" t="s">
        <v>66</v>
      </c>
      <c r="C18" s="10">
        <v>0</v>
      </c>
      <c r="D18" s="11" t="s">
        <v>3</v>
      </c>
      <c r="E18" s="1"/>
    </row>
    <row r="19" spans="1:5" x14ac:dyDescent="0.25">
      <c r="A19" s="1"/>
      <c r="B19" s="53" t="s">
        <v>70</v>
      </c>
      <c r="C19" s="54"/>
      <c r="D19" s="19"/>
      <c r="E19" s="1"/>
    </row>
    <row r="20" spans="1:5" x14ac:dyDescent="0.25">
      <c r="A20" s="1"/>
      <c r="B20" s="58" t="s">
        <v>71</v>
      </c>
      <c r="C20" s="10">
        <f>'Fane 8. Skattesagen'!C16</f>
        <v>0</v>
      </c>
      <c r="D20" s="11" t="s">
        <v>3</v>
      </c>
      <c r="E20" s="1"/>
    </row>
    <row r="21" spans="1:5" x14ac:dyDescent="0.25">
      <c r="A21" s="1"/>
      <c r="B21" s="53" t="s">
        <v>109</v>
      </c>
      <c r="C21" s="12">
        <f>SUM(C14,C16,C18,C20)</f>
        <v>18941739.214398943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9f8qYHUuL5GDECYG+mdE2nf0uCq2O7ZbofcVbZ2O3aWw2osYwHfaAGXTGWEONeNqrRHN1QU8EqXHLtcaQEVQw==" saltValue="5dmH2ey9OG5eTj8thTXd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131</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3" t="s">
        <v>12</v>
      </c>
      <c r="C8" s="54"/>
      <c r="D8" s="19"/>
      <c r="E8" s="1"/>
    </row>
    <row r="9" spans="1:5" ht="15" customHeight="1" x14ac:dyDescent="0.25">
      <c r="A9" s="1"/>
      <c r="B9" s="47" t="s">
        <v>132</v>
      </c>
      <c r="C9" s="7">
        <f>'Fane 2.3. Økonomisk ramme 2027'!C14</f>
        <v>11967195.713166701</v>
      </c>
      <c r="D9" s="8" t="s">
        <v>3</v>
      </c>
      <c r="E9" s="1"/>
    </row>
    <row r="10" spans="1:5" ht="15" customHeight="1" x14ac:dyDescent="0.25">
      <c r="A10" s="1"/>
      <c r="B10" s="51" t="s">
        <v>17</v>
      </c>
      <c r="C10" s="9">
        <f>C9*'Fane 13. Nøgletal'!C11</f>
        <v>793425.07578295225</v>
      </c>
      <c r="D10" s="8" t="s">
        <v>3</v>
      </c>
      <c r="E10" s="1"/>
    </row>
    <row r="11" spans="1:5" ht="15" customHeight="1" x14ac:dyDescent="0.25">
      <c r="A11" s="1"/>
      <c r="B11" s="51" t="s">
        <v>9</v>
      </c>
      <c r="C11" s="9">
        <f>-SUM(C9:C10)*'Fane 5. Individuelt eff. krav'!C9</f>
        <v>0</v>
      </c>
      <c r="D11" s="8" t="s">
        <v>3</v>
      </c>
      <c r="E11" s="1"/>
    </row>
    <row r="12" spans="1:5" ht="15" customHeight="1" x14ac:dyDescent="0.25">
      <c r="A12" s="1"/>
      <c r="B12" s="51" t="s">
        <v>21</v>
      </c>
      <c r="C12" s="9">
        <f>-'Fane 4.1. Gen. krav - drift'!C32</f>
        <v>-105706.14049752681</v>
      </c>
      <c r="D12" s="8" t="s">
        <v>3</v>
      </c>
      <c r="E12" s="1"/>
    </row>
    <row r="13" spans="1:5" ht="15" customHeight="1" x14ac:dyDescent="0.25">
      <c r="A13" s="1"/>
      <c r="B13" s="51" t="s">
        <v>22</v>
      </c>
      <c r="C13" s="9">
        <f>-'Fane 4.2. Gen. krav - anlæg'!C32</f>
        <v>0</v>
      </c>
      <c r="D13" s="8" t="s">
        <v>3</v>
      </c>
      <c r="E13" s="1"/>
    </row>
    <row r="14" spans="1:5" x14ac:dyDescent="0.25">
      <c r="A14" s="1"/>
      <c r="B14" s="52" t="s">
        <v>19</v>
      </c>
      <c r="C14" s="10">
        <f>SUM(C9:C13)</f>
        <v>12654914.648452127</v>
      </c>
      <c r="D14" s="11" t="s">
        <v>3</v>
      </c>
      <c r="E14" s="1"/>
    </row>
    <row r="15" spans="1:5" x14ac:dyDescent="0.25">
      <c r="A15" s="1"/>
      <c r="B15" s="53" t="s">
        <v>11</v>
      </c>
      <c r="C15" s="54"/>
      <c r="D15" s="19"/>
      <c r="E15" s="1"/>
    </row>
    <row r="16" spans="1:5" ht="15" customHeight="1" x14ac:dyDescent="0.25">
      <c r="A16" s="1"/>
      <c r="B16" s="55" t="s">
        <v>11</v>
      </c>
      <c r="C16" s="10">
        <f>'Fane 6. Ikke-påvirkelige omk.'!C20*(1+'Fane 13. Nøgletal'!C11)^3</f>
        <v>7436955.7353639398</v>
      </c>
      <c r="D16" s="11" t="s">
        <v>3</v>
      </c>
      <c r="E16" s="1"/>
    </row>
    <row r="17" spans="1:5" x14ac:dyDescent="0.25">
      <c r="A17" s="1"/>
      <c r="B17" s="25" t="s">
        <v>70</v>
      </c>
      <c r="C17" s="54"/>
      <c r="D17" s="19"/>
      <c r="E17" s="1"/>
    </row>
    <row r="18" spans="1:5" x14ac:dyDescent="0.25">
      <c r="A18" s="1"/>
      <c r="B18" s="58" t="s">
        <v>71</v>
      </c>
      <c r="C18" s="10">
        <f>'Fane 8. Skattesagen'!C17</f>
        <v>0</v>
      </c>
      <c r="D18" s="11" t="s">
        <v>3</v>
      </c>
      <c r="E18" s="1"/>
    </row>
    <row r="19" spans="1:5" x14ac:dyDescent="0.25">
      <c r="A19" s="1"/>
      <c r="B19" s="53" t="s">
        <v>133</v>
      </c>
      <c r="C19" s="12">
        <f>SUM(C14,C16,C18)</f>
        <v>20091870.383816067</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4qE3YtD8lILX5B2eJCHz7waRYaz80sRbiXiohusKoNd+OuVSDINgxxM93r8xhw2EIf7Kc9gx0NRNclwQXDwrA==" saltValue="NkwyMeD66Ys3MpZiJDhrB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9"/>
  <sheetViews>
    <sheetView showGridLines="0" zoomScaleNormal="100" workbookViewId="0"/>
  </sheetViews>
  <sheetFormatPr defaultColWidth="0" defaultRowHeight="15" zeroHeight="1"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8" t="s">
        <v>134</v>
      </c>
      <c r="C3" s="98"/>
      <c r="D3" s="98"/>
      <c r="E3" s="1"/>
    </row>
    <row r="4" spans="1:5" ht="15" customHeight="1" x14ac:dyDescent="0.25">
      <c r="A4" s="1"/>
      <c r="B4" s="98"/>
      <c r="C4" s="98"/>
      <c r="D4" s="9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3" t="s">
        <v>135</v>
      </c>
      <c r="C8" s="54"/>
      <c r="D8" s="19"/>
      <c r="E8" s="1"/>
    </row>
    <row r="9" spans="1:5" ht="15" customHeight="1" x14ac:dyDescent="0.25">
      <c r="A9" s="1"/>
      <c r="B9" s="51" t="s">
        <v>63</v>
      </c>
      <c r="C9" s="7">
        <v>9863792.9539646171</v>
      </c>
      <c r="D9" s="8" t="s">
        <v>3</v>
      </c>
      <c r="E9" s="1"/>
    </row>
    <row r="10" spans="1:5" ht="15" customHeight="1" x14ac:dyDescent="0.25">
      <c r="A10" s="1"/>
      <c r="B10" s="24" t="s">
        <v>32</v>
      </c>
      <c r="C10" s="7">
        <v>0</v>
      </c>
      <c r="D10" s="8" t="s">
        <v>3</v>
      </c>
      <c r="E10" s="1"/>
    </row>
    <row r="11" spans="1:5" ht="15" customHeight="1" x14ac:dyDescent="0.25">
      <c r="A11" s="1"/>
      <c r="B11" s="24" t="s">
        <v>33</v>
      </c>
      <c r="C11" s="9">
        <v>0</v>
      </c>
      <c r="D11" s="8" t="s">
        <v>3</v>
      </c>
      <c r="E11" s="1"/>
    </row>
    <row r="12" spans="1:5"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351151.02916114038</v>
      </c>
      <c r="D16" s="8" t="s">
        <v>3</v>
      </c>
      <c r="E16" s="1"/>
    </row>
    <row r="17" spans="1:5" x14ac:dyDescent="0.25">
      <c r="A17" s="1"/>
      <c r="B17" s="24" t="s">
        <v>9</v>
      </c>
      <c r="C17" s="9">
        <v>0</v>
      </c>
      <c r="D17" s="8" t="s">
        <v>3</v>
      </c>
      <c r="E17" s="1"/>
    </row>
    <row r="18" spans="1:5" x14ac:dyDescent="0.25">
      <c r="A18" s="1"/>
      <c r="B18" s="24" t="s">
        <v>21</v>
      </c>
      <c r="C18" s="9">
        <v>-88649.905446723074</v>
      </c>
      <c r="D18" s="8" t="s">
        <v>3</v>
      </c>
      <c r="E18" s="1"/>
    </row>
    <row r="19" spans="1:5" x14ac:dyDescent="0.25">
      <c r="A19" s="1"/>
      <c r="B19" s="24" t="s">
        <v>22</v>
      </c>
      <c r="C19" s="9">
        <v>0</v>
      </c>
      <c r="D19" s="8" t="s">
        <v>3</v>
      </c>
      <c r="E19" s="1"/>
    </row>
    <row r="20" spans="1:5" x14ac:dyDescent="0.25">
      <c r="A20" s="1"/>
      <c r="B20" s="74" t="s">
        <v>19</v>
      </c>
      <c r="C20" s="10">
        <v>10126294.077679034</v>
      </c>
      <c r="D20" s="11" t="s">
        <v>3</v>
      </c>
      <c r="E20" s="1"/>
    </row>
    <row r="21" spans="1:5" x14ac:dyDescent="0.25">
      <c r="A21" s="1"/>
      <c r="B21" s="53" t="s">
        <v>11</v>
      </c>
      <c r="C21" s="54"/>
      <c r="D21" s="19"/>
      <c r="E21" s="1"/>
    </row>
    <row r="22" spans="1:5" x14ac:dyDescent="0.25">
      <c r="A22" s="1"/>
      <c r="B22" s="55" t="s">
        <v>11</v>
      </c>
      <c r="C22" s="10">
        <v>6428543.7362227645</v>
      </c>
      <c r="D22" s="11" t="s">
        <v>3</v>
      </c>
      <c r="E22" s="1"/>
    </row>
    <row r="23" spans="1:5" ht="15" customHeight="1" x14ac:dyDescent="0.25">
      <c r="A23" s="1"/>
      <c r="B23" s="53" t="s">
        <v>39</v>
      </c>
      <c r="C23" s="54"/>
      <c r="D23" s="19"/>
      <c r="E23" s="1"/>
    </row>
    <row r="24" spans="1:5" ht="14.2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193</v>
      </c>
      <c r="C26" s="9">
        <v>0</v>
      </c>
      <c r="D26" s="8" t="s">
        <v>3</v>
      </c>
      <c r="E26" s="1"/>
    </row>
    <row r="27" spans="1:5" ht="14.25" customHeight="1" x14ac:dyDescent="0.25">
      <c r="A27" s="1"/>
      <c r="B27" s="63" t="s">
        <v>194</v>
      </c>
      <c r="C27" s="9">
        <v>0</v>
      </c>
      <c r="D27" s="8" t="s">
        <v>3</v>
      </c>
      <c r="E27" s="1"/>
    </row>
    <row r="28" spans="1:5" x14ac:dyDescent="0.25">
      <c r="A28" s="1"/>
      <c r="B28" s="74" t="s">
        <v>40</v>
      </c>
      <c r="C28" s="10">
        <v>0</v>
      </c>
      <c r="D28" s="11" t="s">
        <v>3</v>
      </c>
      <c r="E28" s="1"/>
    </row>
    <row r="29" spans="1:5" x14ac:dyDescent="0.25">
      <c r="A29" s="1"/>
      <c r="B29" s="25" t="s">
        <v>65</v>
      </c>
      <c r="C29" s="54"/>
      <c r="D29" s="19"/>
      <c r="E29" s="1"/>
    </row>
    <row r="30" spans="1:5" ht="15" customHeight="1" x14ac:dyDescent="0.25">
      <c r="A30" s="1"/>
      <c r="B30" s="58" t="s">
        <v>66</v>
      </c>
      <c r="C30" s="10">
        <v>0</v>
      </c>
      <c r="D30" s="11" t="s">
        <v>3</v>
      </c>
      <c r="E30" s="1"/>
    </row>
    <row r="31" spans="1:5" ht="15.6" customHeight="1" x14ac:dyDescent="0.25">
      <c r="A31" s="1"/>
      <c r="B31" s="25" t="s">
        <v>70</v>
      </c>
      <c r="C31" s="54"/>
      <c r="D31" s="19"/>
      <c r="E31" s="1"/>
    </row>
    <row r="32" spans="1:5" ht="15.6" customHeight="1" x14ac:dyDescent="0.25">
      <c r="A32" s="1"/>
      <c r="B32" s="58" t="s">
        <v>71</v>
      </c>
      <c r="C32" s="10">
        <v>0</v>
      </c>
      <c r="D32" s="11" t="s">
        <v>3</v>
      </c>
      <c r="E32" s="1"/>
    </row>
    <row r="33" spans="1:5" x14ac:dyDescent="0.25">
      <c r="A33" s="1"/>
      <c r="B33" s="53" t="s">
        <v>67</v>
      </c>
      <c r="C33" s="12">
        <v>16554837.813901799</v>
      </c>
      <c r="D33" s="13" t="s">
        <v>3</v>
      </c>
      <c r="E33" s="1"/>
    </row>
    <row r="34" spans="1:5" ht="30" customHeight="1" x14ac:dyDescent="0.25">
      <c r="A34" s="1"/>
      <c r="B34" s="97" t="s">
        <v>195</v>
      </c>
      <c r="C34" s="97"/>
      <c r="D34" s="9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CYB8dXiL/EDwe1cG3giLubkfJNSTKR+ifC09aYWnsiqtiauYRvbgnWALPilrmkDljhYbVl6KlGzUX0OcbACeA==" saltValue="lnlMb7xnzbUJ5QW17OdXAg==" spinCount="100000" sheet="1" objects="1" scenarios="1"/>
  <mergeCells count="2">
    <mergeCell ref="B34:D34"/>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8" t="s">
        <v>53</v>
      </c>
      <c r="C3" s="98"/>
      <c r="D3" s="98"/>
      <c r="E3" s="1"/>
    </row>
    <row r="4" spans="1:5" ht="15" customHeight="1" x14ac:dyDescent="0.25">
      <c r="A4" s="1"/>
      <c r="B4" s="98"/>
      <c r="C4" s="98"/>
      <c r="D4" s="98"/>
      <c r="E4" s="1"/>
    </row>
    <row r="5" spans="1:5" ht="15" customHeight="1" x14ac:dyDescent="0.25">
      <c r="A5" s="1"/>
      <c r="B5" s="98"/>
      <c r="C5" s="98"/>
      <c r="D5" s="98"/>
      <c r="E5" s="1"/>
    </row>
    <row r="6" spans="1:5" ht="15" customHeight="1" x14ac:dyDescent="0.25">
      <c r="A6" s="1"/>
      <c r="B6" s="68"/>
      <c r="C6" s="68"/>
      <c r="D6" s="68"/>
      <c r="E6" s="1"/>
    </row>
    <row r="7" spans="1:5" x14ac:dyDescent="0.25">
      <c r="A7" s="1"/>
      <c r="B7" s="1"/>
      <c r="C7" s="32"/>
      <c r="D7" s="1"/>
      <c r="E7" s="1"/>
    </row>
    <row r="8" spans="1:5" x14ac:dyDescent="0.25">
      <c r="A8" s="1"/>
      <c r="B8" s="99" t="s">
        <v>75</v>
      </c>
      <c r="C8" s="100"/>
      <c r="D8" s="101"/>
      <c r="E8" s="1"/>
    </row>
    <row r="9" spans="1:5" x14ac:dyDescent="0.25">
      <c r="A9" s="1"/>
      <c r="B9" s="56" t="s">
        <v>167</v>
      </c>
      <c r="C9" s="22">
        <v>4432495.2723361533</v>
      </c>
      <c r="D9" s="14" t="s">
        <v>3</v>
      </c>
      <c r="E9" s="1"/>
    </row>
    <row r="10" spans="1:5" x14ac:dyDescent="0.25">
      <c r="A10" s="1"/>
      <c r="B10" s="56" t="s">
        <v>110</v>
      </c>
      <c r="C10" s="61">
        <f>SUM('Fane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88649.905446723074</v>
      </c>
      <c r="D11" s="14" t="s">
        <v>3</v>
      </c>
      <c r="E11" s="1"/>
    </row>
    <row r="12" spans="1:5" x14ac:dyDescent="0.25">
      <c r="A12" s="1"/>
      <c r="B12" s="53"/>
      <c r="C12" s="31"/>
      <c r="D12" s="19"/>
      <c r="E12" s="1"/>
    </row>
    <row r="13" spans="1:5" x14ac:dyDescent="0.25">
      <c r="A13" s="1"/>
      <c r="B13" s="1"/>
      <c r="C13" s="32"/>
      <c r="D13" s="1"/>
      <c r="E13" s="1"/>
    </row>
    <row r="14" spans="1:5" x14ac:dyDescent="0.25">
      <c r="A14" s="1"/>
      <c r="B14" s="99" t="s">
        <v>153</v>
      </c>
      <c r="C14" s="100"/>
      <c r="D14" s="101"/>
      <c r="E14" s="1"/>
    </row>
    <row r="15" spans="1:5" x14ac:dyDescent="0.25">
      <c r="A15" s="1"/>
      <c r="B15" s="56" t="s">
        <v>168</v>
      </c>
      <c r="C15" s="22">
        <f>(C9+C10-C11)*(1+'Fane 13. Nøgletal'!C11)</f>
        <v>4631842.3147141999</v>
      </c>
      <c r="D15" s="14" t="s">
        <v>3</v>
      </c>
      <c r="E15" s="1"/>
    </row>
    <row r="16" spans="1:5" x14ac:dyDescent="0.25">
      <c r="A16" s="1"/>
      <c r="B16" s="56" t="s">
        <v>154</v>
      </c>
      <c r="C16" s="61">
        <f>('Fane 2.1. Økonomisk ramme 2025'!C10+'Fane 2.1. Økonomisk ramme 2025'!C12+'Fane 2.1. Økonomisk ramme 2025'!C14)*(1+'Fane 13. Nøgletal'!C11)</f>
        <v>0</v>
      </c>
      <c r="D16" s="14" t="s">
        <v>3</v>
      </c>
      <c r="E16" s="1"/>
    </row>
    <row r="17" spans="1:5" x14ac:dyDescent="0.25">
      <c r="A17" s="1"/>
      <c r="B17" s="56" t="s">
        <v>155</v>
      </c>
      <c r="C17" s="22">
        <f>(C15+C16)*'Fane 13. Nøgletal'!C23</f>
        <v>92636.846294283998</v>
      </c>
      <c r="D17" s="14" t="s">
        <v>3</v>
      </c>
      <c r="E17" s="1"/>
    </row>
    <row r="18" spans="1:5" x14ac:dyDescent="0.25">
      <c r="A18" s="1"/>
      <c r="B18" s="53"/>
      <c r="C18" s="31"/>
      <c r="D18" s="19"/>
      <c r="E18" s="1"/>
    </row>
    <row r="19" spans="1:5" x14ac:dyDescent="0.25">
      <c r="A19" s="1"/>
      <c r="B19" s="1"/>
      <c r="C19" s="32"/>
      <c r="D19" s="1"/>
      <c r="E19" s="1"/>
    </row>
    <row r="20" spans="1:5" x14ac:dyDescent="0.25">
      <c r="A20" s="1"/>
      <c r="B20" s="99" t="s">
        <v>170</v>
      </c>
      <c r="C20" s="100"/>
      <c r="D20" s="101"/>
      <c r="E20" s="1"/>
    </row>
    <row r="21" spans="1:5" x14ac:dyDescent="0.25">
      <c r="A21" s="1"/>
      <c r="B21" s="56" t="s">
        <v>169</v>
      </c>
      <c r="C21" s="48">
        <f>(C15+C16-C17)*(1+'Fane 13. Nøgletal'!C11)</f>
        <v>4840154.7909761565</v>
      </c>
      <c r="D21" s="14" t="s">
        <v>3</v>
      </c>
      <c r="E21" s="1"/>
    </row>
    <row r="22" spans="1:5" x14ac:dyDescent="0.25">
      <c r="A22" s="1"/>
      <c r="B22" s="56" t="s">
        <v>171</v>
      </c>
      <c r="C22" s="48">
        <f>(C21)*'Fane 13. Nøgletal'!C23</f>
        <v>96803.095819523136</v>
      </c>
      <c r="D22" s="14" t="s">
        <v>3</v>
      </c>
      <c r="E22" s="1"/>
    </row>
    <row r="23" spans="1:5" x14ac:dyDescent="0.25">
      <c r="A23" s="1"/>
      <c r="B23" s="53"/>
      <c r="C23" s="31"/>
      <c r="D23" s="19"/>
      <c r="E23" s="1"/>
    </row>
    <row r="24" spans="1:5" x14ac:dyDescent="0.25">
      <c r="A24" s="1"/>
      <c r="B24" s="1"/>
      <c r="C24" s="32"/>
      <c r="D24" s="1"/>
      <c r="E24" s="1"/>
    </row>
    <row r="25" spans="1:5" x14ac:dyDescent="0.25">
      <c r="A25" s="1"/>
      <c r="B25" s="99" t="s">
        <v>116</v>
      </c>
      <c r="C25" s="100"/>
      <c r="D25" s="101"/>
      <c r="E25" s="1"/>
    </row>
    <row r="26" spans="1:5" x14ac:dyDescent="0.25">
      <c r="A26" s="1"/>
      <c r="B26" s="56" t="s">
        <v>117</v>
      </c>
      <c r="C26" s="48">
        <f>(C21-C22)*(1+'Fane 13. Nøgletal'!C11)</f>
        <v>5057835.912545518</v>
      </c>
      <c r="D26" s="14" t="s">
        <v>3</v>
      </c>
      <c r="E26" s="1"/>
    </row>
    <row r="27" spans="1:5" x14ac:dyDescent="0.25">
      <c r="A27" s="1"/>
      <c r="B27" s="56" t="s">
        <v>118</v>
      </c>
      <c r="C27" s="48">
        <f>(C26)*'Fane 13. Nøgletal'!C23</f>
        <v>101156.71825091036</v>
      </c>
      <c r="D27" s="14" t="s">
        <v>3</v>
      </c>
      <c r="E27" s="1"/>
    </row>
    <row r="28" spans="1:5" x14ac:dyDescent="0.25">
      <c r="A28" s="1"/>
      <c r="B28" s="53"/>
      <c r="C28" s="42"/>
      <c r="D28" s="19"/>
      <c r="E28" s="1"/>
    </row>
    <row r="29" spans="1:5" x14ac:dyDescent="0.25">
      <c r="A29" s="1"/>
      <c r="B29" s="1"/>
      <c r="C29" s="32"/>
      <c r="D29" s="1"/>
      <c r="E29" s="1"/>
    </row>
    <row r="30" spans="1:5" x14ac:dyDescent="0.25">
      <c r="A30" s="1"/>
      <c r="B30" s="99" t="s">
        <v>136</v>
      </c>
      <c r="C30" s="100"/>
      <c r="D30" s="101"/>
      <c r="E30" s="1"/>
    </row>
    <row r="31" spans="1:5" x14ac:dyDescent="0.25">
      <c r="A31" s="1"/>
      <c r="B31" s="56" t="s">
        <v>137</v>
      </c>
      <c r="C31" s="48">
        <f>(C26-C27)*(1+'Fane 13. Nøgletal'!C11)</f>
        <v>5285307.0248763403</v>
      </c>
      <c r="D31" s="14" t="s">
        <v>3</v>
      </c>
      <c r="E31" s="1"/>
    </row>
    <row r="32" spans="1:5" x14ac:dyDescent="0.25">
      <c r="A32" s="1"/>
      <c r="B32" s="56" t="s">
        <v>138</v>
      </c>
      <c r="C32" s="48">
        <f>(C31)*'Fane 13. Nøgletal'!C23</f>
        <v>105706.14049752681</v>
      </c>
      <c r="D32" s="14" t="s">
        <v>3</v>
      </c>
      <c r="E32" s="1"/>
    </row>
    <row r="33" spans="1:5" x14ac:dyDescent="0.25">
      <c r="A33" s="1"/>
      <c r="B33" s="53"/>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1F3aXg0UqSwaEa28GKX8wZrR/LsNIxrML+yio+3t77tPZZI2nMk/3T3BojiMZ+thmcaOCaa53l4n/+5ozoawrA==" saltValue="HOSPzZAiTZer7EcYGRWF4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2" t="s">
        <v>54</v>
      </c>
      <c r="C3" s="103"/>
      <c r="D3" s="103"/>
      <c r="E3" s="1"/>
    </row>
    <row r="4" spans="1:5" ht="15" customHeight="1" x14ac:dyDescent="0.25">
      <c r="A4" s="1"/>
      <c r="B4" s="103"/>
      <c r="C4" s="103"/>
      <c r="D4" s="103"/>
      <c r="E4" s="1"/>
    </row>
    <row r="5" spans="1:5" ht="15" customHeight="1" x14ac:dyDescent="0.25">
      <c r="A5" s="1"/>
      <c r="B5" s="103"/>
      <c r="C5" s="103"/>
      <c r="D5" s="103"/>
      <c r="E5" s="1"/>
    </row>
    <row r="6" spans="1:5" ht="15" customHeight="1" x14ac:dyDescent="0.25">
      <c r="A6" s="1"/>
      <c r="B6" s="1"/>
      <c r="C6" s="1"/>
      <c r="D6" s="1"/>
      <c r="E6" s="1"/>
    </row>
    <row r="7" spans="1:5" ht="15" customHeight="1" x14ac:dyDescent="0.25">
      <c r="A7" s="1"/>
      <c r="B7" s="1"/>
      <c r="C7" s="1"/>
      <c r="D7" s="1"/>
      <c r="E7" s="1"/>
    </row>
    <row r="8" spans="1:5" x14ac:dyDescent="0.25">
      <c r="A8" s="1"/>
      <c r="B8" s="99" t="s">
        <v>76</v>
      </c>
      <c r="C8" s="100"/>
      <c r="D8" s="101"/>
      <c r="E8" s="1"/>
    </row>
    <row r="9" spans="1:5" x14ac:dyDescent="0.25">
      <c r="A9" s="1"/>
      <c r="B9" s="56" t="s">
        <v>162</v>
      </c>
      <c r="C9" s="48">
        <v>5956531.6352409692</v>
      </c>
      <c r="D9" s="14" t="s">
        <v>3</v>
      </c>
      <c r="E9" s="1"/>
    </row>
    <row r="10" spans="1:5" x14ac:dyDescent="0.25">
      <c r="A10" s="1"/>
      <c r="B10" s="56" t="s">
        <v>113</v>
      </c>
      <c r="C10" s="76">
        <f>SUM('Fane 3. Omkostninger i ØR2024'!C11,'Fane 3. Omkostninger i ØR2024'!C13,'Fane 3. Omkostninger i ØR2024'!C15)*(1+'Fane 13. Nøgletal'!C10)</f>
        <v>0</v>
      </c>
      <c r="D10" s="14" t="s">
        <v>3</v>
      </c>
      <c r="E10" s="1"/>
    </row>
    <row r="11" spans="1:5" x14ac:dyDescent="0.25">
      <c r="A11" s="1"/>
      <c r="B11" s="56" t="s">
        <v>114</v>
      </c>
      <c r="C11" s="76">
        <f>(C9)*'Fane 13. Nøgletal'!C16+C10*'Fane 13. Nøgletal'!C17</f>
        <v>0</v>
      </c>
      <c r="D11" s="14" t="s">
        <v>3</v>
      </c>
      <c r="E11" s="1"/>
    </row>
    <row r="12" spans="1:5" x14ac:dyDescent="0.25">
      <c r="A12" s="1"/>
      <c r="B12" s="53"/>
      <c r="C12" s="54"/>
      <c r="D12" s="19"/>
      <c r="E12" s="1"/>
    </row>
    <row r="13" spans="1:5" x14ac:dyDescent="0.25">
      <c r="A13" s="1"/>
      <c r="B13" s="1"/>
      <c r="C13" s="1"/>
      <c r="D13" s="1"/>
      <c r="E13" s="1"/>
    </row>
    <row r="14" spans="1:5" x14ac:dyDescent="0.25">
      <c r="A14" s="1"/>
      <c r="B14" s="99" t="s">
        <v>156</v>
      </c>
      <c r="C14" s="100"/>
      <c r="D14" s="101"/>
      <c r="E14" s="1"/>
    </row>
    <row r="15" spans="1:5" x14ac:dyDescent="0.25">
      <c r="A15" s="1"/>
      <c r="B15" s="56" t="s">
        <v>163</v>
      </c>
      <c r="C15" s="48">
        <f>(C9+C10-C11)*(1+'Fane 13. Nøgletal'!C11)</f>
        <v>6351449.6826574458</v>
      </c>
      <c r="D15" s="14" t="s">
        <v>3</v>
      </c>
      <c r="E15" s="1"/>
    </row>
    <row r="16" spans="1:5" x14ac:dyDescent="0.25">
      <c r="A16" s="1"/>
      <c r="B16" s="56" t="s">
        <v>157</v>
      </c>
      <c r="C16" s="76">
        <f>('Fane 2.1. Økonomisk ramme 2025'!C11+'Fane 2.1. Økonomisk ramme 2025'!C13+'Fane 2.1. Økonomisk ramme 2025'!C15)*(1+'Fane 13. Nøgletal'!C11)</f>
        <v>0</v>
      </c>
      <c r="D16" s="14" t="s">
        <v>3</v>
      </c>
      <c r="E16" s="1"/>
    </row>
    <row r="17" spans="1:5" x14ac:dyDescent="0.25">
      <c r="A17" s="1"/>
      <c r="B17" s="56" t="s">
        <v>158</v>
      </c>
      <c r="C17" s="76">
        <f>(C15+C16)*'Fane 13. Nøgletal'!C18</f>
        <v>0</v>
      </c>
      <c r="D17" s="14" t="s">
        <v>3</v>
      </c>
      <c r="E17" s="1"/>
    </row>
    <row r="18" spans="1:5" x14ac:dyDescent="0.25">
      <c r="A18" s="1"/>
      <c r="B18" s="53"/>
      <c r="C18" s="54"/>
      <c r="D18" s="19"/>
      <c r="E18" s="1"/>
    </row>
    <row r="19" spans="1:5" x14ac:dyDescent="0.25">
      <c r="A19" s="1"/>
      <c r="B19" s="1"/>
      <c r="C19" s="1"/>
      <c r="D19" s="1"/>
      <c r="E19" s="1"/>
    </row>
    <row r="20" spans="1:5" x14ac:dyDescent="0.25">
      <c r="A20" s="1"/>
      <c r="B20" s="99" t="s">
        <v>166</v>
      </c>
      <c r="C20" s="100"/>
      <c r="D20" s="101"/>
      <c r="E20" s="1"/>
    </row>
    <row r="21" spans="1:5" x14ac:dyDescent="0.25">
      <c r="A21" s="1"/>
      <c r="B21" s="56" t="s">
        <v>164</v>
      </c>
      <c r="C21" s="48">
        <f>(C15+C16-C17)*(1+'Fane 13. Nøgletal'!C11)</f>
        <v>6772550.7966176346</v>
      </c>
      <c r="D21" s="14" t="s">
        <v>3</v>
      </c>
      <c r="E21" s="1"/>
    </row>
    <row r="22" spans="1:5" x14ac:dyDescent="0.25">
      <c r="A22" s="1"/>
      <c r="B22" s="56" t="s">
        <v>165</v>
      </c>
      <c r="C22" s="76">
        <f>(C21)*'Fane 13. Nøgletal'!C18</f>
        <v>0</v>
      </c>
      <c r="D22" s="14" t="s">
        <v>3</v>
      </c>
      <c r="E22" s="1"/>
    </row>
    <row r="23" spans="1:5" x14ac:dyDescent="0.25">
      <c r="A23" s="1"/>
      <c r="B23" s="53"/>
      <c r="C23" s="54"/>
      <c r="D23" s="19"/>
      <c r="E23" s="1"/>
    </row>
    <row r="24" spans="1:5" x14ac:dyDescent="0.25">
      <c r="A24" s="1"/>
      <c r="B24" s="1"/>
      <c r="C24" s="1"/>
      <c r="D24" s="1"/>
      <c r="E24" s="1"/>
    </row>
    <row r="25" spans="1:5" x14ac:dyDescent="0.25">
      <c r="A25" s="1"/>
      <c r="B25" s="99" t="s">
        <v>119</v>
      </c>
      <c r="C25" s="100"/>
      <c r="D25" s="101"/>
      <c r="E25" s="1"/>
    </row>
    <row r="26" spans="1:5" x14ac:dyDescent="0.25">
      <c r="A26" s="1"/>
      <c r="B26" s="56" t="s">
        <v>120</v>
      </c>
      <c r="C26" s="48">
        <f>(C21-C22)*(1+'Fane 13. Nøgletal'!C11)</f>
        <v>7221570.9144333843</v>
      </c>
      <c r="D26" s="14" t="s">
        <v>3</v>
      </c>
      <c r="E26" s="1"/>
    </row>
    <row r="27" spans="1:5" x14ac:dyDescent="0.25">
      <c r="A27" s="1"/>
      <c r="B27" s="56" t="s">
        <v>121</v>
      </c>
      <c r="C27" s="76">
        <f>(C26)*'Fane 13. Nøgletal'!C18</f>
        <v>0</v>
      </c>
      <c r="D27" s="14" t="s">
        <v>3</v>
      </c>
      <c r="E27" s="1"/>
    </row>
    <row r="28" spans="1:5" x14ac:dyDescent="0.25">
      <c r="A28" s="1"/>
      <c r="B28" s="53"/>
      <c r="C28" s="54"/>
      <c r="D28" s="19"/>
      <c r="E28" s="1"/>
    </row>
    <row r="29" spans="1:5" x14ac:dyDescent="0.25">
      <c r="A29" s="1"/>
      <c r="B29" s="1"/>
      <c r="C29" s="1"/>
      <c r="D29" s="1"/>
      <c r="E29" s="1"/>
    </row>
    <row r="30" spans="1:5" x14ac:dyDescent="0.25">
      <c r="A30" s="1"/>
      <c r="B30" s="99" t="s">
        <v>139</v>
      </c>
      <c r="C30" s="100"/>
      <c r="D30" s="101"/>
      <c r="E30" s="1"/>
    </row>
    <row r="31" spans="1:5" x14ac:dyDescent="0.25">
      <c r="A31" s="1"/>
      <c r="B31" s="56" t="s">
        <v>140</v>
      </c>
      <c r="C31" s="48">
        <f>(C26-C27)*(1+'Fane 13. Nøgletal'!C11)</f>
        <v>7700361.0660603177</v>
      </c>
      <c r="D31" s="14" t="s">
        <v>3</v>
      </c>
      <c r="E31" s="1"/>
    </row>
    <row r="32" spans="1:5" x14ac:dyDescent="0.25">
      <c r="A32" s="1"/>
      <c r="B32" s="56" t="s">
        <v>141</v>
      </c>
      <c r="C32" s="76">
        <f>(C31)*'Fane 13. Nøgletal'!C18</f>
        <v>0</v>
      </c>
      <c r="D32" s="14" t="s">
        <v>3</v>
      </c>
      <c r="E32" s="1"/>
    </row>
    <row r="33" spans="1:5" x14ac:dyDescent="0.25">
      <c r="A33" s="1"/>
      <c r="B33" s="53"/>
      <c r="C33" s="54"/>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0/S8xSBbzjquHPL1GlvVQJdlKwMMffu+jbQcfljDq1KYfXDuSBNjoBvpWcxZGRmtrxs0O0gkskeR50863/sfA==" saltValue="cbPtRj84Q5xIlk58jXFgN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5" t="s">
        <v>41</v>
      </c>
      <c r="C3" s="95"/>
      <c r="D3" s="1"/>
    </row>
    <row r="4" spans="1:4" ht="1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9" t="s">
        <v>9</v>
      </c>
      <c r="C8" s="101"/>
      <c r="D8" s="1"/>
    </row>
    <row r="9" spans="1:4" x14ac:dyDescent="0.25">
      <c r="A9" s="1"/>
      <c r="B9" s="56" t="s">
        <v>160</v>
      </c>
      <c r="C9" s="44">
        <v>0</v>
      </c>
      <c r="D9" s="1"/>
    </row>
    <row r="10" spans="1:4" x14ac:dyDescent="0.25">
      <c r="A10" s="1"/>
      <c r="B10" s="53"/>
      <c r="C10" s="19"/>
      <c r="D10" s="1"/>
    </row>
    <row r="11" spans="1:4" ht="15" customHeight="1" x14ac:dyDescent="0.25">
      <c r="A11" s="1"/>
      <c r="B11" s="104" t="s">
        <v>161</v>
      </c>
      <c r="C11" s="105"/>
      <c r="D11" s="1"/>
    </row>
    <row r="12" spans="1:4" ht="13.5" customHeight="1" x14ac:dyDescent="0.25">
      <c r="A12" s="1"/>
      <c r="B12" s="106"/>
      <c r="C12" s="10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XQHo9ucTYJ8HoQvebrD6g3kcnYr1cEcVDygyI49kLzV9itW90Q5jUPMElIKcGrLKSoOAYkX+OhH5WkoY/jaSVQ==" saltValue="ECFz2v34+FmQzWXqogrDv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2024-09-04T13:31:27Z</dcterms:modified>
</cp:coreProperties>
</file>