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rindsted Renseanlæg AS (S112)\ØR2022\"/>
    </mc:Choice>
  </mc:AlternateContent>
  <xr:revisionPtr revIDLastSave="0" documentId="13_ncr:1_{B4428C3C-867F-4A82-8273-1406D9BED024}" xr6:coauthVersionLast="36" xr6:coauthVersionMax="36" xr10:uidLastSave="{00000000-0000-0000-0000-000000000000}"/>
  <bookViews>
    <workbookView xWindow="3110" yWindow="990" windowWidth="12740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91029"/>
</workbook>
</file>

<file path=xl/calcChain.xml><?xml version="1.0" encoding="utf-8"?>
<calcChain xmlns="http://schemas.openxmlformats.org/spreadsheetml/2006/main">
  <c r="E16" i="40" l="1"/>
  <c r="E12" i="40"/>
  <c r="E26" i="32" l="1"/>
  <c r="E32" i="32" l="1"/>
  <c r="E34" i="32" s="1"/>
  <c r="C15" i="19"/>
  <c r="C26" i="15" l="1"/>
  <c r="C30" i="2"/>
  <c r="E28" i="20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C13" i="2"/>
  <c r="G39" i="30" l="1"/>
  <c r="G45" i="30" s="1"/>
  <c r="G28" i="30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<sst xmlns="http://schemas.openxmlformats.org/spreadsheetml/2006/main" count="708" uniqueCount="287">
  <si>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</si>
  <si>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</si>
  <si>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</si>
  <si>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</si>
  <si>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</si>
  <si>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</si>
  <si>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</si>
  <si>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</si>
  <si>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</si>
  <si>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</si>
  <si>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</si>
  <si>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</si>
  <si>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</si>
  <si>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</si>
  <si>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</si>
  <si>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</si>
  <si>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</si>
  <si>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</si>
  <si>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</si>
  <si>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</si>
  <si>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</si>
  <si>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</si>
  <si>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</si>
  <si>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</si>
  <si>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</si>
  <si>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</si>
  <si>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</si>
  <si>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</si>
  <si>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</si>
  <si>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</si>
  <si>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</si>
  <si>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</si>
  <si>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</si>
  <si>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</si>
  <si>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</si>
  <si>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</si>
  <si>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</si>
  <si>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</si>
  <si>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</si>
  <si>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</si>
  <si>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</si>
  <si>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</si>
  <si>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</si>
  <si>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</si>
  <si>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</si>
  <si>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</si>
  <si>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</si>
  <si>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</si>
  <si>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</si>
  <si>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</si>
  <si>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</si>
  <si>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</si>
  <si>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</si>
  <si>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</si>
  <si>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</si>
  <si>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</si>
  <si>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</si>
  <si>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</si>
  <si>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</si>
  <si>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</si>
  <si>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</si>
  <si>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</si>
  <si>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</si>
  <si>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</si>
  <si>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</si>
  <si>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</si>
  <si>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</si>
  <si>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</si>
  <si>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</si>
  <si>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</si>
  <si>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</si>
  <si>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</si>
  <si>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</si>
  <si>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</si>
  <si>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</si>
  <si>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</si>
  <si>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</si>
  <si>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</si>
  <si>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</si>
  <si>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</si>
  <si>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</si>
  <si>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</si>
  <si>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</si>
  <si>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</si>
  <si>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</si>
  <si>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</si>
  <si>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</si>
  <si>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</si>
  <si>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</si>
  <si>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</si>
  <si>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</si>
  <si>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</si>
  <si>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</si>
  <si>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</si>
  <si>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</si>
  <si>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</si>
  <si>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</si>
  <si>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</si>
  <si>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</si>
  <si>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</si>
  <si>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</si>
  <si>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</si>
  <si>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</si>
  <si>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</si>
  <si>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</si>
  <si>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</si>
  <si>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</si>
  <si>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</si>
  <si>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</si>
  <si>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</si>
  <si>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</si>
  <si>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</si>
  <si>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</si>
  <si>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</si>
  <si>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</si>
  <si>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</si>
  <si>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</si>
  <si>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</si>
  <si>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</si>
  <si>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</si>
  <si>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</si>
  <si>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</si>
  <si>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</si>
  <si>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</si>
  <si>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</si>
  <si>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</si>
  <si>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</si>
  <si>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</si>
  <si>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</si>
  <si>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</si>
  <si>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</si>
  <si>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</si>
  <si>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</si>
  <si>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</si>
  <si>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</si>
  <si>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</si>
  <si>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</si>
  <si>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</si>
  <si>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</si>
  <si>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</si>
  <si>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</si>
  <si>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</si>
  <si>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</si>
  <si>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</si>
  <si>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</si>
  <si>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</si>
  <si>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</si>
  <si>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</si>
  <si>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</si>
  <si>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</si>
  <si>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</si>
  <si>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</si>
  <si>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</si>
  <si>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</si>
  <si>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</si>
  <si>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</si>
  <si>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</si>
  <si>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</si>
  <si>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</si>
  <si>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</si>
  <si>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</si>
  <si>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</si>
  <si>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</si>
  <si>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</si>
  <si>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</si>
  <si>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</si>
  <si>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</si>
  <si>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</si>
  <si>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</si>
  <si>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</si>
  <si>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</si>
  <si>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</si>
  <si>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</si>
  <si>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</si>
  <si>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</si>
  <si>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</si>
  <si>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</si>
  <si>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</si>
  <si>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</si>
  <si>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</si>
  <si>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</si>
  <si>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</si>
  <si>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</si>
  <si>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</si>
  <si>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</si>
  <si>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</si>
  <si>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</si>
  <si>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</si>
  <si>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</si>
  <si>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</si>
  <si>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</si>
  <si>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</si>
  <si>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</si>
  <si>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</si>
  <si>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</si>
  <si>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</si>
  <si>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</si>
  <si>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</si>
  <si>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</si>
  <si>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</si>
  <si>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</si>
  <si>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</si>
  <si>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</si>
  <si>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</si>
  <si>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</si>
  <si>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</si>
  <si>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</si>
  <si>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</si>
  <si>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</si>
  <si>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</si>
  <si>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</si>
  <si>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</si>
  <si>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</si>
  <si>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</si>
  <si>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</si>
  <si>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</si>
  <si>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</si>
  <si>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</si>
  <si>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</si>
  <si>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</si>
  <si>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</si>
  <si>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</si>
  <si>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</si>
  <si>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</si>
  <si>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</si>
  <si>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</si>
  <si>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</si>
  <si>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</si>
  <si>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</si>
  <si>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</si>
  <si>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</si>
  <si>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</si>
  <si>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</si>
  <si>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</si>
  <si>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</si>
  <si>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</si>
  <si>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</si>
  <si>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</si>
  <si>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</si>
  <si>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</si>
  <si>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</si>
  <si>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</si>
  <si>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</si>
  <si>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</si>
  <si>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</si>
  <si>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</si>
  <si>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</si>
  <si>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</si>
  <si>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</si>
  <si>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</si>
  <si>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</si>
  <si>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</si>
  <si>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</si>
  <si>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</si>
  <si>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</si>
  <si>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</si>
  <si>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</si>
  <si>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</si>
  <si>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</si>
  <si>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</si>
  <si>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</si>
  <si>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</si>
  <si>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</si>
  <si>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</si>
  <si>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</si>
  <si>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</si>
  <si>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</si>
  <si>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</si>
  <si>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</si>
  <si>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</si>
  <si>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</si>
  <si>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</si>
  <si>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</si>
  <si>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</si>
  <si>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</si>
  <si>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</si>
  <si>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</si>
  <si>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</si>
  <si>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</si>
  <si>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</si>
  <si>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</si>
  <si>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</si>
  <si>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</si>
  <si>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</si>
  <si>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</si>
  <si>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</si>
  <si>
    <t>Force majeure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</si>
</sst>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3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 xr:uid="{00000000-0005-0000-0000-000003000000}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/>
  </sheetViews>
  <sheetFormatPr defaultColWidth="9.1796875" defaultRowHeight="14.5" x14ac:dyDescent="0.35"/>
  <cols>
    <col min="1" max="1" width="9.1796875" style="2"/>
    <col min="2" max="2" width="5.81640625" style="2" customWidth="1"/>
    <col min="3" max="4" width="9.1796875" style="2"/>
    <col min="5" max="5" width="11.7265625" style="2" customWidth="1"/>
    <col min="6" max="6" width="11.54296875" style="2" customWidth="1"/>
    <col min="7" max="8" width="9.1796875" style="2"/>
    <col min="9" max="9" width="12.1796875" style="2" customWidth="1"/>
    <col min="10" max="16384" width="9.17968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3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35">
      <c r="A7" s="1"/>
      <c r="B7" s="1"/>
      <c r="C7" s="3"/>
      <c r="D7" s="72"/>
      <c r="E7" s="72"/>
      <c r="F7" s="72"/>
      <c r="G7" s="72"/>
      <c r="H7" s="3"/>
      <c r="I7" s="1"/>
    </row>
    <row r="8" spans="1:9" ht="15.5" x14ac:dyDescent="0.35">
      <c r="A8" s="1"/>
      <c r="B8" s="1"/>
      <c r="C8" s="4"/>
      <c r="D8" s="80" t="s">
        <v>284</v>
      </c>
      <c r="E8" s="80"/>
      <c r="F8" s="80"/>
      <c r="G8" s="80"/>
      <c r="H8" s="4"/>
      <c r="I8" s="1"/>
    </row>
    <row r="9" spans="1:9" x14ac:dyDescent="0.35">
      <c r="A9" s="1"/>
      <c r="B9" s="1"/>
      <c r="C9" s="5"/>
      <c r="D9" s="5"/>
      <c r="E9" s="5"/>
      <c r="F9" s="5"/>
      <c r="G9" s="5"/>
      <c r="H9" s="5"/>
      <c r="I9" s="1"/>
    </row>
    <row r="10" spans="1:9" x14ac:dyDescent="0.3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3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3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3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3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3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3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3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3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3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3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3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3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3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3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3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3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3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3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c9iSIWnycZ6Dp3FqNbx9s+1X7ObGQYSSaJkYEgsmZ9A79qB3qMYPSAmms6vnaQwgmSXG5dm6m5eqvAhNUsE0Q==" saltValue="Sz3dKEx/qEbeDPMd0qJi2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 xr:uid="{00000000-0004-0000-0000-000000000000}"/>
    <hyperlink ref="D25:G25" location="'Fane 10.1. Varige tillæg'!A1" display="Varige tillæg" xr:uid="{00000000-0004-0000-0000-000001000000}"/>
    <hyperlink ref="D28:G28" location="'Fane 12. Tilknyttet virksomhed'!A1" display="Tilknyttet virksomhed" xr:uid="{00000000-0004-0000-0000-000002000000}"/>
    <hyperlink ref="D29:G29" location="'Fane 13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22:G22" location="'Fane 7. Kontrol af ØR2020'!A1" display="Kontrol af den økonomiske ramme for 2019" xr:uid="{00000000-0004-0000-0000-000007000000}"/>
    <hyperlink ref="D24:G24" location="'Fane 9. Anlægsprojekter'!A1" display="Anlægsprojekter" xr:uid="{00000000-0004-0000-0000-000008000000}"/>
    <hyperlink ref="D30:G30" location="'Fane 14. Nøgletal'!A1" display="Nøgletal" xr:uid="{00000000-0004-0000-0000-000009000000}"/>
    <hyperlink ref="D17:G17" location="'Fane 3. Omkostninger i ØR2021'!A1" display="Omkostninger i ØR2020" xr:uid="{00000000-0004-0000-0000-00000A000000}"/>
    <hyperlink ref="D26:G26" location="'Fane 10.2. Engangstillæg'!A1" display="Engangstillæg" xr:uid="{00000000-0004-0000-0000-00000B000000}"/>
    <hyperlink ref="D27:G27" location="'Fane 11. Periodevise driftsomk.'!A1" display="Periodevise driftsomkostninger" xr:uid="{00000000-0004-0000-0000-00000C000000}"/>
    <hyperlink ref="D23:G23" location="'Fane 8. Korrektion af ØR2020'!A1" display="Korrektion af den økonomiske ramme for 2020" xr:uid="{00000000-0004-0000-0000-00000D000000}"/>
    <hyperlink ref="D21:G21" location="'Fane 6. Ikke-påvirkelige omk.'!A1" display="Ikke-påvirkelige omkostninger" xr:uid="{00000000-0004-0000-0000-00000E000000}"/>
    <hyperlink ref="D18:G18" location="'Fane 4.1. Gen. krav - drift'!A1" display="Generelt effektiviseringskrav på drift" xr:uid="{00000000-0004-0000-0000-00000F000000}"/>
    <hyperlink ref="D20:G20" location="'Fane 5. Individuelt eff. krav'!A1" display="Individuelt effektiviseringskrav" xr:uid="{00000000-0004-0000-0000-000010000000}"/>
    <hyperlink ref="D19:G19" location="'Fane 4.2. Gen. krav - anlæg'!A1" display="Generelt effektiviseringskrav på anlæg" xr:uid="{00000000-0004-0000-0000-000011000000}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/>
  <dimension ref="A1:F52"/>
  <sheetViews>
    <sheetView showGridLines="0" view="pageLayout" zoomScaleNormal="100" workbookViewId="0"/>
  </sheetViews>
  <sheetFormatPr defaultColWidth="9.1796875" defaultRowHeight="14.5" x14ac:dyDescent="0.35"/>
  <cols>
    <col min="1" max="1" width="8.1796875" style="2" customWidth="1"/>
    <col min="2" max="2" width="38" style="2" customWidth="1"/>
    <col min="3" max="3" width="24.81640625" style="2" customWidth="1"/>
    <col min="4" max="4" width="3.26953125" style="2" customWidth="1"/>
    <col min="5" max="5" width="7.81640625" style="2" customWidth="1"/>
    <col min="6" max="6" width="4" style="2" customWidth="1"/>
    <col min="7" max="16384" width="9.1796875" style="2"/>
  </cols>
  <sheetData>
    <row r="1" spans="1:6" x14ac:dyDescent="0.35">
      <c r="A1" s="1"/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3" spans="1:6" ht="15" customHeight="1" x14ac:dyDescent="0.35">
      <c r="A3" s="1"/>
      <c r="B3" s="87" t="s">
        <v>132</v>
      </c>
      <c r="C3" s="87"/>
      <c r="D3" s="87"/>
      <c r="E3" s="1"/>
      <c r="F3" s="1"/>
    </row>
    <row r="4" spans="1:6" ht="15" customHeight="1" x14ac:dyDescent="0.35">
      <c r="A4" s="1"/>
      <c r="B4" s="87"/>
      <c r="C4" s="87"/>
      <c r="D4" s="87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95" t="s">
        <v>208</v>
      </c>
      <c r="C8" s="96"/>
      <c r="D8" s="97"/>
      <c r="E8" s="1"/>
      <c r="F8" s="1"/>
    </row>
    <row r="9" spans="1:6" ht="15" customHeight="1" x14ac:dyDescent="0.35">
      <c r="A9" s="1"/>
      <c r="B9" s="30" t="s">
        <v>35</v>
      </c>
      <c r="C9" s="11" t="s">
        <v>244</v>
      </c>
      <c r="D9" s="11"/>
      <c r="E9" s="1"/>
      <c r="F9" s="1"/>
    </row>
    <row r="10" spans="1:6" ht="15" customHeight="1" x14ac:dyDescent="0.35">
      <c r="A10" s="1"/>
      <c r="B10" s="65" t="s">
        <v>262</v>
      </c>
      <c r="C10" s="9">
        <v>1376876</v>
      </c>
      <c r="D10" s="14" t="s">
        <v>3</v>
      </c>
      <c r="E10" s="1"/>
      <c r="F10" s="1"/>
    </row>
    <row r="11" spans="1:6" x14ac:dyDescent="0.35">
      <c r="A11" s="1"/>
      <c r="B11" s="65" t="s">
        <v>263</v>
      </c>
      <c r="C11" s="9">
        <v>69879</v>
      </c>
      <c r="D11" s="14" t="s">
        <v>3</v>
      </c>
      <c r="E11" s="1"/>
      <c r="F11" s="1"/>
    </row>
    <row r="12" spans="1:6" x14ac:dyDescent="0.35">
      <c r="A12" s="1"/>
      <c r="B12" s="65" t="s">
        <v>286</v>
      </c>
      <c r="C12" s="9">
        <v>59317</v>
      </c>
      <c r="D12" s="14" t="s">
        <v>3</v>
      </c>
      <c r="E12" s="1"/>
      <c r="F12" s="1"/>
    </row>
    <row r="13" spans="1:6" x14ac:dyDescent="0.35">
      <c r="A13" s="1"/>
      <c r="B13" s="65" t="s">
        <v>264</v>
      </c>
      <c r="C13" s="9">
        <v>26010</v>
      </c>
      <c r="D13" s="14" t="s">
        <v>3</v>
      </c>
      <c r="E13" s="1"/>
      <c r="F13" s="1"/>
    </row>
    <row r="14" spans="1:6" x14ac:dyDescent="0.35">
      <c r="A14" s="1"/>
      <c r="B14" s="65" t="s">
        <v>265</v>
      </c>
      <c r="C14" s="9">
        <v>38942</v>
      </c>
      <c r="D14" s="14" t="s">
        <v>3</v>
      </c>
      <c r="E14" s="1"/>
      <c r="F14" s="1"/>
    </row>
    <row r="15" spans="1:6" x14ac:dyDescent="0.35">
      <c r="A15" s="1"/>
      <c r="B15" s="37" t="s">
        <v>209</v>
      </c>
      <c r="C15" s="12">
        <f>SUM(C10:C14)</f>
        <v>1571024</v>
      </c>
      <c r="D15" s="13" t="s">
        <v>3</v>
      </c>
      <c r="E15" s="1"/>
      <c r="F15" s="1"/>
    </row>
    <row r="16" spans="1:6" x14ac:dyDescent="0.35">
      <c r="A16" s="1"/>
      <c r="B16" s="37" t="s">
        <v>210</v>
      </c>
      <c r="C16" s="12">
        <f>C15*(1+'Fane 14. Nøgletal'!C14)^2</f>
        <v>1581409.8668513603</v>
      </c>
      <c r="D16" s="13" t="s">
        <v>3</v>
      </c>
      <c r="E16" s="1"/>
      <c r="F16" s="1"/>
    </row>
    <row r="17" spans="1:6" x14ac:dyDescent="0.35">
      <c r="A17" s="1"/>
      <c r="B17" s="16"/>
      <c r="C17" s="15"/>
      <c r="D17" s="15"/>
      <c r="E17" s="1"/>
      <c r="F17" s="1"/>
    </row>
    <row r="18" spans="1:6" x14ac:dyDescent="0.35">
      <c r="A18" s="1"/>
      <c r="B18" s="16"/>
      <c r="C18" s="15"/>
      <c r="D18" s="15"/>
      <c r="E18" s="1"/>
      <c r="F18" s="1"/>
    </row>
    <row r="19" spans="1:6" x14ac:dyDescent="0.35">
      <c r="A19" s="1"/>
      <c r="B19" s="95" t="s">
        <v>142</v>
      </c>
      <c r="C19" s="96"/>
      <c r="D19" s="97"/>
      <c r="E19" s="1"/>
      <c r="F19" s="1"/>
    </row>
    <row r="20" spans="1:6" x14ac:dyDescent="0.35">
      <c r="A20" s="1"/>
      <c r="B20" s="65" t="s">
        <v>116</v>
      </c>
      <c r="C20" s="9">
        <v>0</v>
      </c>
      <c r="D20" s="14" t="s">
        <v>3</v>
      </c>
      <c r="E20" s="1"/>
      <c r="F20" s="1"/>
    </row>
    <row r="21" spans="1:6" x14ac:dyDescent="0.35">
      <c r="A21" s="1"/>
      <c r="B21" s="65" t="s">
        <v>117</v>
      </c>
      <c r="C21" s="9">
        <v>0</v>
      </c>
      <c r="D21" s="14" t="s">
        <v>3</v>
      </c>
      <c r="E21" s="1"/>
      <c r="F21" s="1"/>
    </row>
    <row r="22" spans="1:6" x14ac:dyDescent="0.35">
      <c r="A22" s="1"/>
      <c r="B22" s="65" t="s">
        <v>154</v>
      </c>
      <c r="C22" s="9">
        <v>0</v>
      </c>
      <c r="D22" s="14" t="s">
        <v>3</v>
      </c>
      <c r="E22" s="1"/>
      <c r="F22" s="1"/>
    </row>
    <row r="23" spans="1:6" x14ac:dyDescent="0.35">
      <c r="A23" s="1"/>
      <c r="B23" s="65" t="s">
        <v>211</v>
      </c>
      <c r="C23" s="9">
        <v>0</v>
      </c>
      <c r="D23" s="14" t="s">
        <v>3</v>
      </c>
      <c r="E23" s="1"/>
      <c r="F23" s="1"/>
    </row>
    <row r="24" spans="1:6" x14ac:dyDescent="0.35">
      <c r="A24" s="1"/>
      <c r="B24" s="95"/>
      <c r="C24" s="96"/>
      <c r="D24" s="97"/>
      <c r="E24" s="1"/>
      <c r="F24" s="1"/>
    </row>
    <row r="25" spans="1:6" x14ac:dyDescent="0.35">
      <c r="A25" s="1"/>
      <c r="B25" s="1"/>
      <c r="C25" s="1"/>
      <c r="D25" s="1"/>
      <c r="E25" s="1"/>
      <c r="F25" s="1"/>
    </row>
    <row r="26" spans="1:6" x14ac:dyDescent="0.35">
      <c r="A26" s="1"/>
      <c r="B26" s="1"/>
      <c r="C26" s="1"/>
      <c r="D26" s="1"/>
      <c r="E26" s="1"/>
      <c r="F26" s="1"/>
    </row>
    <row r="27" spans="1:6" x14ac:dyDescent="0.35">
      <c r="A27" s="1"/>
      <c r="B27" s="95" t="s">
        <v>115</v>
      </c>
      <c r="C27" s="96"/>
      <c r="D27" s="97"/>
      <c r="E27" s="1"/>
      <c r="F27" s="1"/>
    </row>
    <row r="28" spans="1:6" x14ac:dyDescent="0.35">
      <c r="A28" s="1"/>
      <c r="B28" s="65" t="s">
        <v>116</v>
      </c>
      <c r="C28" s="9">
        <v>0</v>
      </c>
      <c r="D28" s="14" t="s">
        <v>3</v>
      </c>
      <c r="E28" s="1"/>
      <c r="F28" s="1"/>
    </row>
    <row r="29" spans="1:6" x14ac:dyDescent="0.35">
      <c r="A29" s="1"/>
      <c r="B29" s="65" t="s">
        <v>117</v>
      </c>
      <c r="C29" s="9">
        <v>0</v>
      </c>
      <c r="D29" s="14" t="s">
        <v>3</v>
      </c>
      <c r="E29" s="1"/>
      <c r="F29" s="1"/>
    </row>
    <row r="30" spans="1:6" x14ac:dyDescent="0.35">
      <c r="A30" s="1"/>
      <c r="B30" s="65" t="s">
        <v>154</v>
      </c>
      <c r="C30" s="9">
        <v>0</v>
      </c>
      <c r="D30" s="14" t="s">
        <v>3</v>
      </c>
      <c r="E30" s="1"/>
      <c r="F30" s="1"/>
    </row>
    <row r="31" spans="1:6" x14ac:dyDescent="0.35">
      <c r="A31" s="1"/>
      <c r="B31" s="65" t="s">
        <v>211</v>
      </c>
      <c r="C31" s="9">
        <v>0</v>
      </c>
      <c r="D31" s="14" t="s">
        <v>3</v>
      </c>
      <c r="E31" s="1"/>
      <c r="F31" s="1"/>
    </row>
    <row r="32" spans="1:6" x14ac:dyDescent="0.35">
      <c r="A32" s="1"/>
      <c r="B32" s="95"/>
      <c r="C32" s="96"/>
      <c r="D32" s="97"/>
      <c r="E32" s="1"/>
      <c r="F32" s="1"/>
    </row>
    <row r="33" spans="1:6" x14ac:dyDescent="0.35">
      <c r="A33" s="1"/>
      <c r="B33" s="1"/>
      <c r="C33" s="1"/>
      <c r="D33" s="1"/>
      <c r="E33" s="1"/>
      <c r="F33" s="1"/>
    </row>
    <row r="34" spans="1:6" x14ac:dyDescent="0.35">
      <c r="A34" s="1"/>
      <c r="B34" s="1"/>
      <c r="C34" s="1"/>
      <c r="D34" s="1"/>
      <c r="E34" s="1"/>
      <c r="F34" s="1"/>
    </row>
    <row r="35" spans="1:6" x14ac:dyDescent="0.35">
      <c r="A35" s="1"/>
      <c r="B35" s="1"/>
      <c r="C35" s="1"/>
      <c r="D35" s="1"/>
      <c r="E35" s="1"/>
      <c r="F35" s="1"/>
    </row>
    <row r="36" spans="1:6" x14ac:dyDescent="0.35">
      <c r="A36" s="1"/>
      <c r="B36" s="1"/>
      <c r="C36" s="1"/>
      <c r="D36" s="1"/>
      <c r="E36" s="1"/>
      <c r="F36" s="1"/>
    </row>
    <row r="37" spans="1:6" x14ac:dyDescent="0.35">
      <c r="A37" s="1"/>
      <c r="B37" s="1"/>
      <c r="C37" s="1"/>
      <c r="D37" s="1"/>
      <c r="E37" s="1"/>
      <c r="F37" s="1"/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1"/>
      <c r="B39" s="1"/>
      <c r="C39" s="1"/>
      <c r="D39" s="1"/>
      <c r="E39" s="1"/>
      <c r="F39" s="1"/>
    </row>
    <row r="40" spans="1:6" x14ac:dyDescent="0.35">
      <c r="A40" s="1"/>
      <c r="B40" s="1"/>
      <c r="C40" s="1"/>
      <c r="D40" s="1"/>
      <c r="E40" s="1"/>
      <c r="F40" s="1"/>
    </row>
    <row r="41" spans="1:6" x14ac:dyDescent="0.35">
      <c r="A41" s="1"/>
      <c r="B41" s="1"/>
      <c r="C41" s="1"/>
      <c r="D41" s="1"/>
      <c r="E41" s="1"/>
      <c r="F41" s="1"/>
    </row>
    <row r="42" spans="1:6" x14ac:dyDescent="0.35">
      <c r="A42" s="1"/>
      <c r="B42" s="1"/>
      <c r="C42" s="1"/>
      <c r="D42" s="1"/>
      <c r="E42" s="1"/>
      <c r="F42" s="1"/>
    </row>
    <row r="43" spans="1:6" x14ac:dyDescent="0.35">
      <c r="A43" s="1"/>
      <c r="B43" s="1"/>
      <c r="C43" s="1"/>
      <c r="D43" s="1"/>
      <c r="E43" s="1"/>
      <c r="F43" s="1"/>
    </row>
    <row r="44" spans="1:6" x14ac:dyDescent="0.35">
      <c r="A44" s="1"/>
      <c r="B44" s="1"/>
      <c r="C44" s="1"/>
      <c r="D44" s="1"/>
      <c r="E44" s="1"/>
      <c r="F44" s="1"/>
    </row>
    <row r="45" spans="1:6" x14ac:dyDescent="0.35">
      <c r="A45" s="1"/>
      <c r="B45" s="1"/>
      <c r="C45" s="1"/>
      <c r="D45" s="1"/>
      <c r="E45" s="1"/>
      <c r="F45" s="1"/>
    </row>
    <row r="46" spans="1:6" x14ac:dyDescent="0.35">
      <c r="A46" s="1"/>
      <c r="B46" s="1"/>
      <c r="C46" s="1"/>
      <c r="D46" s="1"/>
      <c r="E46" s="1"/>
      <c r="F46" s="1"/>
    </row>
    <row r="47" spans="1:6" x14ac:dyDescent="0.35">
      <c r="A47" s="1"/>
      <c r="B47" s="1"/>
      <c r="C47" s="1"/>
      <c r="D47" s="1"/>
      <c r="E47" s="1"/>
      <c r="F47" s="1"/>
    </row>
    <row r="48" spans="1:6" x14ac:dyDescent="0.35">
      <c r="A48" s="1"/>
      <c r="B48" s="1"/>
      <c r="C48" s="1"/>
      <c r="D48" s="1"/>
      <c r="E48" s="1"/>
      <c r="F48" s="1"/>
    </row>
    <row r="49" spans="1:6" x14ac:dyDescent="0.35">
      <c r="A49" s="1"/>
      <c r="B49" s="1"/>
      <c r="C49" s="1"/>
      <c r="D49" s="1"/>
      <c r="E49" s="1"/>
      <c r="F49" s="1"/>
    </row>
    <row r="50" spans="1:6" x14ac:dyDescent="0.35">
      <c r="A50" s="1"/>
      <c r="B50" s="1"/>
      <c r="C50" s="1"/>
      <c r="D50" s="1"/>
      <c r="E50" s="1"/>
      <c r="F50" s="1"/>
    </row>
    <row r="51" spans="1:6" x14ac:dyDescent="0.35">
      <c r="A51" s="1"/>
      <c r="B51" s="1"/>
      <c r="C51" s="1"/>
      <c r="D51" s="1"/>
      <c r="E51" s="1"/>
      <c r="F51" s="1"/>
    </row>
    <row r="52" spans="1:6" x14ac:dyDescent="0.35">
      <c r="A52" s="1"/>
      <c r="B52" s="1"/>
      <c r="C52" s="1"/>
      <c r="D52" s="1"/>
      <c r="E52" s="1"/>
      <c r="F52" s="1"/>
    </row>
  </sheetData>
  <sheetProtection algorithmName="SHA-512" hashValue="LYuibG3zORNz7NxZxEU1UT1BfQMdGsH1dLMVtY5RsCqNtL12CT76hIQMwUrqr9cgwxk5Ak4YDFfMTtoM/E7zXg==" saltValue="oG/gHuPK6u2vDXFqpsCp4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2"/>
  <dimension ref="A1:H43"/>
  <sheetViews>
    <sheetView showGridLines="0" view="pageLayout" zoomScaleNormal="100" workbookViewId="0"/>
  </sheetViews>
  <sheetFormatPr defaultColWidth="9.1796875" defaultRowHeight="14.5" x14ac:dyDescent="0.35"/>
  <cols>
    <col min="1" max="1" width="3.54296875" style="2" customWidth="1"/>
    <col min="2" max="3" width="9.1796875" style="2"/>
    <col min="4" max="4" width="45.81640625" style="2" customWidth="1"/>
    <col min="5" max="5" width="12.26953125" style="2" bestFit="1" customWidth="1"/>
    <col min="6" max="6" width="3.26953125" style="2" customWidth="1"/>
    <col min="7" max="7" width="2.453125" style="2" customWidth="1"/>
    <col min="8" max="8" width="9.81640625" style="2" bestFit="1" customWidth="1"/>
    <col min="9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9.25" customHeight="1" x14ac:dyDescent="0.3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35">
      <c r="A4" s="1"/>
      <c r="B4" s="103"/>
      <c r="C4" s="103"/>
      <c r="D4" s="103"/>
      <c r="E4" s="103"/>
      <c r="F4" s="103"/>
      <c r="G4" s="1"/>
    </row>
    <row r="5" spans="1:7" ht="15" customHeight="1" x14ac:dyDescent="0.35">
      <c r="A5" s="1"/>
      <c r="B5" s="53"/>
      <c r="C5" s="53"/>
      <c r="D5" s="53"/>
      <c r="E5" s="53"/>
      <c r="F5" s="53"/>
      <c r="G5" s="1"/>
    </row>
    <row r="6" spans="1:7" ht="15" customHeight="1" x14ac:dyDescent="0.35">
      <c r="A6" s="1"/>
      <c r="B6" s="53"/>
      <c r="C6" s="53"/>
      <c r="D6" s="53"/>
      <c r="E6" s="53"/>
      <c r="F6" s="53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95" t="s">
        <v>267</v>
      </c>
      <c r="C8" s="96"/>
      <c r="D8" s="96"/>
      <c r="E8" s="96"/>
      <c r="F8" s="97"/>
      <c r="G8" s="1"/>
    </row>
    <row r="9" spans="1:7" x14ac:dyDescent="0.35">
      <c r="A9" s="1"/>
      <c r="B9" s="104" t="s">
        <v>268</v>
      </c>
      <c r="C9" s="105"/>
      <c r="D9" s="106"/>
      <c r="E9" s="9">
        <v>2852042.604704082</v>
      </c>
      <c r="F9" s="14" t="s">
        <v>3</v>
      </c>
      <c r="G9" s="1"/>
    </row>
    <row r="10" spans="1:7" x14ac:dyDescent="0.35">
      <c r="A10" s="1"/>
      <c r="B10" s="104" t="s">
        <v>269</v>
      </c>
      <c r="C10" s="105"/>
      <c r="D10" s="106"/>
      <c r="E10" s="9">
        <v>2717873.8346526362</v>
      </c>
      <c r="F10" s="14" t="s">
        <v>3</v>
      </c>
      <c r="G10" s="1"/>
    </row>
    <row r="11" spans="1:7" x14ac:dyDescent="0.35">
      <c r="A11" s="1"/>
      <c r="B11" s="104" t="s">
        <v>270</v>
      </c>
      <c r="C11" s="105"/>
      <c r="D11" s="106"/>
      <c r="E11" s="9">
        <v>2717873.8346526362</v>
      </c>
      <c r="F11" s="14" t="s">
        <v>3</v>
      </c>
      <c r="G11" s="1"/>
    </row>
    <row r="12" spans="1:7" x14ac:dyDescent="0.35">
      <c r="A12" s="1"/>
      <c r="B12" s="104" t="s">
        <v>271</v>
      </c>
      <c r="C12" s="105"/>
      <c r="D12" s="106"/>
      <c r="E12" s="9">
        <v>-2983412.7392385267</v>
      </c>
      <c r="F12" s="14" t="s">
        <v>3</v>
      </c>
      <c r="G12" s="1"/>
    </row>
    <row r="13" spans="1:7" x14ac:dyDescent="0.35">
      <c r="A13" s="1"/>
      <c r="B13" s="37"/>
      <c r="C13" s="31"/>
      <c r="D13" s="31"/>
      <c r="E13" s="31"/>
      <c r="F13" s="20"/>
      <c r="G13" s="1"/>
    </row>
    <row r="14" spans="1:7" ht="51.75" customHeight="1" x14ac:dyDescent="0.3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95" t="s">
        <v>273</v>
      </c>
      <c r="C16" s="96"/>
      <c r="D16" s="96"/>
      <c r="E16" s="96"/>
      <c r="F16" s="97"/>
      <c r="G16" s="1"/>
    </row>
    <row r="17" spans="1:8" x14ac:dyDescent="0.35">
      <c r="A17" s="1"/>
      <c r="B17" s="104" t="s">
        <v>274</v>
      </c>
      <c r="C17" s="105"/>
      <c r="D17" s="106"/>
      <c r="E17" s="9">
        <v>-132769.5826736819</v>
      </c>
      <c r="F17" s="14" t="s">
        <v>3</v>
      </c>
      <c r="G17" s="1"/>
    </row>
    <row r="18" spans="1:8" x14ac:dyDescent="0.35">
      <c r="A18" s="1"/>
      <c r="B18" s="104" t="s">
        <v>275</v>
      </c>
      <c r="C18" s="105"/>
      <c r="D18" s="106"/>
      <c r="E18" s="9">
        <v>-132769.5826736819</v>
      </c>
      <c r="F18" s="14" t="s">
        <v>3</v>
      </c>
      <c r="G18" s="1"/>
    </row>
    <row r="19" spans="1:8" x14ac:dyDescent="0.35">
      <c r="A19" s="1"/>
      <c r="B19" s="37"/>
      <c r="C19" s="31"/>
      <c r="D19" s="31"/>
      <c r="E19" s="31"/>
      <c r="F19" s="20"/>
      <c r="G19" s="1"/>
    </row>
    <row r="20" spans="1:8" ht="29.25" customHeight="1" x14ac:dyDescent="0.35">
      <c r="A20" s="1"/>
      <c r="B20" s="98" t="s">
        <v>276</v>
      </c>
      <c r="C20" s="99"/>
      <c r="D20" s="99"/>
      <c r="E20" s="99"/>
      <c r="F20" s="100"/>
      <c r="G20" s="1"/>
      <c r="H20" s="48"/>
    </row>
    <row r="21" spans="1:8" x14ac:dyDescent="0.35">
      <c r="A21" s="1"/>
      <c r="B21" s="1"/>
      <c r="C21" s="1"/>
      <c r="D21" s="1"/>
      <c r="E21" s="1"/>
      <c r="F21" s="1"/>
      <c r="G21" s="1"/>
    </row>
    <row r="22" spans="1:8" x14ac:dyDescent="0.35">
      <c r="A22" s="1"/>
      <c r="B22" s="57" t="s">
        <v>213</v>
      </c>
      <c r="C22" s="58"/>
      <c r="D22" s="58"/>
      <c r="E22" s="58"/>
      <c r="F22" s="59"/>
      <c r="G22" s="1"/>
    </row>
    <row r="23" spans="1:8" x14ac:dyDescent="0.35">
      <c r="A23" s="1"/>
      <c r="B23" s="62" t="s">
        <v>214</v>
      </c>
      <c r="C23" s="63"/>
      <c r="D23" s="64"/>
      <c r="E23" s="9">
        <v>27758577.275029413</v>
      </c>
      <c r="F23" s="14" t="s">
        <v>3</v>
      </c>
      <c r="G23" s="1"/>
      <c r="H23" s="48"/>
    </row>
    <row r="24" spans="1:8" x14ac:dyDescent="0.35">
      <c r="A24" s="1"/>
      <c r="B24" s="62" t="s">
        <v>215</v>
      </c>
      <c r="C24" s="63"/>
      <c r="D24" s="64"/>
      <c r="E24" s="9">
        <v>28092804</v>
      </c>
      <c r="F24" s="14" t="s">
        <v>3</v>
      </c>
      <c r="G24" s="1"/>
      <c r="H24" s="48"/>
    </row>
    <row r="25" spans="1:8" x14ac:dyDescent="0.3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  <c r="H25" s="48"/>
    </row>
    <row r="26" spans="1:8" x14ac:dyDescent="0.35">
      <c r="A26" s="1"/>
      <c r="B26" s="60" t="s">
        <v>277</v>
      </c>
      <c r="C26" s="61"/>
      <c r="D26" s="67"/>
      <c r="E26" s="47">
        <f>E23-(E24-E25)</f>
        <v>-334226.7249705866</v>
      </c>
      <c r="F26" s="17" t="s">
        <v>3</v>
      </c>
      <c r="G26" s="1"/>
    </row>
    <row r="27" spans="1:8" x14ac:dyDescent="0.35">
      <c r="A27" s="1"/>
      <c r="B27" s="37"/>
      <c r="C27" s="31"/>
      <c r="D27" s="31"/>
      <c r="E27" s="31"/>
      <c r="F27" s="20"/>
      <c r="G27" s="1"/>
    </row>
    <row r="28" spans="1:8" x14ac:dyDescent="0.35">
      <c r="A28" s="1"/>
      <c r="B28" s="1"/>
      <c r="C28" s="1"/>
      <c r="D28" s="1"/>
      <c r="E28" s="1"/>
      <c r="F28" s="1"/>
      <c r="G28" s="1"/>
      <c r="H28" s="48"/>
    </row>
    <row r="29" spans="1:8" x14ac:dyDescent="0.35">
      <c r="A29" s="1"/>
      <c r="B29" s="1"/>
      <c r="C29" s="1"/>
      <c r="D29" s="1"/>
      <c r="E29" s="1"/>
      <c r="F29" s="1"/>
      <c r="G29" s="1"/>
    </row>
    <row r="30" spans="1:8" x14ac:dyDescent="0.35">
      <c r="A30" s="1"/>
      <c r="B30" s="95" t="s">
        <v>186</v>
      </c>
      <c r="C30" s="96"/>
      <c r="D30" s="96"/>
      <c r="E30" s="96"/>
      <c r="F30" s="97"/>
      <c r="G30" s="1"/>
    </row>
    <row r="31" spans="1:8" x14ac:dyDescent="0.35">
      <c r="A31" s="1"/>
      <c r="B31" s="116" t="s">
        <v>282</v>
      </c>
      <c r="C31" s="117"/>
      <c r="D31" s="118"/>
      <c r="E31" s="9">
        <v>0</v>
      </c>
      <c r="F31" s="14"/>
      <c r="G31" s="1"/>
    </row>
    <row r="32" spans="1:8" x14ac:dyDescent="0.3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-599765.8903179504</v>
      </c>
      <c r="F32" s="14" t="s">
        <v>3</v>
      </c>
      <c r="G32" s="1"/>
    </row>
    <row r="33" spans="1:7" x14ac:dyDescent="0.3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35">
      <c r="A34" s="1"/>
      <c r="B34" s="119" t="s">
        <v>188</v>
      </c>
      <c r="C34" s="119"/>
      <c r="D34" s="119"/>
      <c r="E34" s="10">
        <f>E32/E33</f>
        <v>-299882.9451589752</v>
      </c>
      <c r="F34" s="17" t="s">
        <v>3</v>
      </c>
      <c r="G34" s="1"/>
    </row>
    <row r="35" spans="1:7" x14ac:dyDescent="0.35">
      <c r="A35" s="1"/>
      <c r="B35" s="120"/>
      <c r="C35" s="121"/>
      <c r="D35" s="121"/>
      <c r="E35" s="121"/>
      <c r="F35" s="122"/>
      <c r="G35" s="1"/>
    </row>
    <row r="36" spans="1:7" ht="75" customHeight="1" x14ac:dyDescent="0.35">
      <c r="A36" s="1"/>
      <c r="B36" s="98" t="s">
        <v>281</v>
      </c>
      <c r="C36" s="99"/>
      <c r="D36" s="99"/>
      <c r="E36" s="99"/>
      <c r="F36" s="100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</sheetData>
  <sheetProtection algorithmName="SHA-512" hashValue="WD4ycYVY60dxc2uSHp+0d4NF4bSMdGx9cEL2kfyK1R5lpMP4yRTqRf352kJ6HwkTElgCWkIJ/MtSrKRLrqlmUA==" saltValue="I6froFn3oA7YNqFOIod2f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5"/>
  <dimension ref="A1:G49"/>
  <sheetViews>
    <sheetView showGridLines="0" view="pageLayout" zoomScaleNormal="100" workbookViewId="0"/>
  </sheetViews>
  <sheetFormatPr defaultColWidth="9.1796875" defaultRowHeight="14.5" x14ac:dyDescent="0.35"/>
  <cols>
    <col min="1" max="1" width="3.54296875" style="2" customWidth="1"/>
    <col min="2" max="3" width="9.1796875" style="2"/>
    <col min="4" max="4" width="45.54296875" style="2" customWidth="1"/>
    <col min="5" max="5" width="12.7265625" style="2" bestFit="1" customWidth="1"/>
    <col min="6" max="6" width="3.26953125" style="2" customWidth="1"/>
    <col min="7" max="7" width="2.453125" style="2" customWidth="1"/>
    <col min="8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9.25" customHeight="1" x14ac:dyDescent="0.3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35">
      <c r="A4" s="1"/>
      <c r="B4" s="103"/>
      <c r="C4" s="103"/>
      <c r="D4" s="103"/>
      <c r="E4" s="103"/>
      <c r="F4" s="103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"/>
      <c r="C8" s="1"/>
      <c r="D8" s="1"/>
      <c r="E8" s="1"/>
      <c r="F8" s="1"/>
      <c r="G8" s="1"/>
    </row>
    <row r="9" spans="1:7" ht="15" customHeight="1" x14ac:dyDescent="0.35">
      <c r="A9" s="1"/>
      <c r="B9" s="95" t="s">
        <v>217</v>
      </c>
      <c r="C9" s="96"/>
      <c r="D9" s="96"/>
      <c r="E9" s="96"/>
      <c r="F9" s="97"/>
      <c r="G9" s="1"/>
    </row>
    <row r="10" spans="1:7" x14ac:dyDescent="0.3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3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3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35">
      <c r="A13" s="1"/>
      <c r="B13" s="95" t="s">
        <v>109</v>
      </c>
      <c r="C13" s="96"/>
      <c r="D13" s="96"/>
      <c r="E13" s="96"/>
      <c r="F13" s="97"/>
      <c r="G13" s="1"/>
    </row>
    <row r="14" spans="1:7" x14ac:dyDescent="0.3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3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3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35">
      <c r="A17" s="1"/>
      <c r="B17" s="37" t="s">
        <v>221</v>
      </c>
      <c r="C17" s="31"/>
      <c r="D17" s="31"/>
      <c r="E17" s="12">
        <f>E12+E16</f>
        <v>0</v>
      </c>
      <c r="F17" s="13" t="s">
        <v>3</v>
      </c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</sheetData>
  <sheetProtection algorithmName="SHA-512" hashValue="+DXF08PfMCppEIY8l1Yj+kVpLE1mPW+qvWmzbkOxQYVWCbYmgISfv09MVHQD0818EHf1u6QHHwXfo6c0ySzJvQ==" saltValue="93LuwOBgVvK15Q0yT7zZk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0"/>
  <dimension ref="A1:I46"/>
  <sheetViews>
    <sheetView showGridLines="0" view="pageLayout" zoomScaleNormal="100" workbookViewId="0"/>
  </sheetViews>
  <sheetFormatPr defaultColWidth="9.1796875" defaultRowHeight="14.5" x14ac:dyDescent="0.35"/>
  <cols>
    <col min="1" max="1" width="4.7265625" style="2" customWidth="1"/>
    <col min="2" max="2" width="22.54296875" style="2" customWidth="1"/>
    <col min="3" max="3" width="8.26953125" style="2" customWidth="1"/>
    <col min="4" max="6" width="10.7265625" style="2" customWidth="1"/>
    <col min="7" max="7" width="11.1796875" style="2" customWidth="1"/>
    <col min="8" max="8" width="3.26953125" style="2" customWidth="1"/>
    <col min="9" max="9" width="4.81640625" style="2" customWidth="1"/>
    <col min="10" max="16384" width="9.17968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3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3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6"/>
      <c r="I9" s="1"/>
    </row>
    <row r="10" spans="1:9" x14ac:dyDescent="0.35">
      <c r="A10" s="1"/>
      <c r="B10" s="68" t="s">
        <v>283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3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J93foyFwYhMLMjVwIBz9/xDjnCIqT5T/y//ErcGhhQJOLQ5BP9/pNp93sVaaty2OkzJYS8tL56yWpD8WKiRUzQ==" saltValue="DiThZtonNnuzd4/dIxMbt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/>
  <dimension ref="A1:G49"/>
  <sheetViews>
    <sheetView showGridLines="0" view="pageLayout" zoomScaleNormal="100" workbookViewId="0"/>
  </sheetViews>
  <sheetFormatPr defaultColWidth="9.1796875" defaultRowHeight="14.5" x14ac:dyDescent="0.35"/>
  <cols>
    <col min="1" max="1" width="5.1796875" style="2" customWidth="1"/>
    <col min="2" max="2" width="34.453125" style="2" customWidth="1"/>
    <col min="3" max="3" width="16.26953125" style="2" customWidth="1"/>
    <col min="4" max="4" width="3.26953125" style="2" customWidth="1"/>
    <col min="5" max="5" width="19.1796875" style="2" customWidth="1"/>
    <col min="6" max="6" width="3.26953125" style="2" customWidth="1"/>
    <col min="7" max="7" width="5.1796875" style="2" customWidth="1"/>
    <col min="8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35">
      <c r="A4" s="1"/>
      <c r="B4" s="87"/>
      <c r="C4" s="87"/>
      <c r="D4" s="87"/>
      <c r="E4" s="87"/>
      <c r="F4" s="87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37" t="s">
        <v>88</v>
      </c>
      <c r="C8" s="31"/>
      <c r="D8" s="31"/>
      <c r="E8" s="31"/>
      <c r="F8" s="20"/>
      <c r="G8" s="1"/>
    </row>
    <row r="9" spans="1:7" ht="17.25" customHeight="1" x14ac:dyDescent="0.35">
      <c r="A9" s="1"/>
      <c r="B9" s="55" t="s">
        <v>18</v>
      </c>
      <c r="C9" s="55" t="s">
        <v>12</v>
      </c>
      <c r="D9" s="56"/>
      <c r="E9" s="55" t="s">
        <v>34</v>
      </c>
      <c r="F9" s="36"/>
      <c r="G9" s="1"/>
    </row>
    <row r="10" spans="1:7" x14ac:dyDescent="0.35">
      <c r="A10" s="1"/>
      <c r="B10" s="24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35">
      <c r="A11" s="1"/>
      <c r="B11" s="46" t="s">
        <v>279</v>
      </c>
      <c r="C11" s="22">
        <v>43191</v>
      </c>
      <c r="D11" s="14" t="s">
        <v>3</v>
      </c>
      <c r="E11" s="9">
        <v>0</v>
      </c>
      <c r="F11" s="14" t="s">
        <v>3</v>
      </c>
      <c r="G11" s="1"/>
    </row>
    <row r="12" spans="1:7" x14ac:dyDescent="0.35">
      <c r="A12" s="1"/>
      <c r="B12" s="37" t="s">
        <v>163</v>
      </c>
      <c r="C12" s="12">
        <f>SUM(C10:C11)</f>
        <v>43191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35">
      <c r="A13" s="1"/>
      <c r="B13" s="37" t="s">
        <v>222</v>
      </c>
      <c r="C13" s="12">
        <f>C12*(1+'Fane 14. Nøgletal'!C14)</f>
        <v>43333.530300000006</v>
      </c>
      <c r="D13" s="13" t="s">
        <v>3</v>
      </c>
      <c r="E13" s="12">
        <f>E12*(1+'Fane 14. Nøgletal'!C14)</f>
        <v>0</v>
      </c>
      <c r="F13" s="13" t="s">
        <v>3</v>
      </c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</sheetData>
  <sheetProtection algorithmName="SHA-512" hashValue="QOm8lsScOnrbXOAtFUIXOXO1PgP+2PNqyvmA2UG0bYf0LP+SWwbmwbS4LznQiYuR1QF9kND0iiwtynMafpo5Hg==" saltValue="WjuAXzvVW1WZKrh/r6/gX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7"/>
  <dimension ref="A1:G42"/>
  <sheetViews>
    <sheetView showGridLines="0" view="pageLayout" zoomScaleNormal="100" workbookViewId="0"/>
  </sheetViews>
  <sheetFormatPr defaultColWidth="9.1796875" defaultRowHeight="14.5" x14ac:dyDescent="0.35"/>
  <cols>
    <col min="1" max="1" width="5.1796875" style="2" customWidth="1"/>
    <col min="2" max="2" width="34.453125" style="2" customWidth="1"/>
    <col min="3" max="3" width="16.26953125" style="2" customWidth="1"/>
    <col min="4" max="4" width="3.453125" style="2" bestFit="1" customWidth="1"/>
    <col min="5" max="5" width="17.7265625" style="2" bestFit="1" customWidth="1"/>
    <col min="6" max="6" width="3.26953125" style="2" customWidth="1"/>
    <col min="7" max="7" width="5.1796875" style="2" customWidth="1"/>
    <col min="8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35">
      <c r="A4" s="1"/>
      <c r="B4" s="87"/>
      <c r="C4" s="87"/>
      <c r="D4" s="87"/>
      <c r="E4" s="87"/>
      <c r="F4" s="87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95" t="s">
        <v>112</v>
      </c>
      <c r="C8" s="96"/>
      <c r="D8" s="96"/>
      <c r="E8" s="96"/>
      <c r="F8" s="97"/>
      <c r="G8" s="1"/>
    </row>
    <row r="9" spans="1:7" x14ac:dyDescent="0.35">
      <c r="A9" s="1"/>
      <c r="B9" s="55" t="s">
        <v>18</v>
      </c>
      <c r="C9" s="55" t="s">
        <v>12</v>
      </c>
      <c r="D9" s="56"/>
      <c r="E9" s="55" t="s">
        <v>34</v>
      </c>
      <c r="F9" s="36"/>
      <c r="G9" s="1"/>
    </row>
    <row r="10" spans="1:7" x14ac:dyDescent="0.35">
      <c r="A10" s="1"/>
      <c r="B10" s="24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35">
      <c r="A11" s="1"/>
      <c r="B11" s="37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35">
      <c r="A12" s="1"/>
      <c r="B12" s="26" t="s">
        <v>10</v>
      </c>
      <c r="C12" s="27">
        <f>-C11*'Fane 5. Individuelt eff. krav'!G12</f>
        <v>0</v>
      </c>
      <c r="D12" s="28" t="s">
        <v>3</v>
      </c>
      <c r="E12" s="27">
        <f>-E11*'Fane 5. Individuelt eff. krav'!G12</f>
        <v>0</v>
      </c>
      <c r="F12" s="28" t="s">
        <v>3</v>
      </c>
      <c r="G12" s="1"/>
    </row>
    <row r="13" spans="1:7" x14ac:dyDescent="0.35">
      <c r="A13" s="1"/>
      <c r="B13" s="26" t="s">
        <v>114</v>
      </c>
      <c r="C13" s="27">
        <f>-C11*'Fane 14. Nøgletal'!C29</f>
        <v>0</v>
      </c>
      <c r="D13" s="28" t="s">
        <v>3</v>
      </c>
      <c r="E13" s="27">
        <f>-E11*'Fane 14. Nøgletal'!C24</f>
        <v>0</v>
      </c>
      <c r="F13" s="28" t="s">
        <v>3</v>
      </c>
      <c r="G13" s="1"/>
    </row>
    <row r="14" spans="1:7" x14ac:dyDescent="0.35">
      <c r="A14" s="1"/>
      <c r="B14" s="37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95" t="s">
        <v>113</v>
      </c>
      <c r="C16" s="96"/>
      <c r="D16" s="96"/>
      <c r="E16" s="96"/>
      <c r="F16" s="97"/>
      <c r="G16" s="1"/>
    </row>
    <row r="17" spans="1:7" x14ac:dyDescent="0.35">
      <c r="A17" s="1"/>
      <c r="B17" s="55" t="s">
        <v>18</v>
      </c>
      <c r="C17" s="55" t="s">
        <v>12</v>
      </c>
      <c r="D17" s="56"/>
      <c r="E17" s="55" t="s">
        <v>34</v>
      </c>
      <c r="F17" s="36"/>
      <c r="G17" s="1"/>
    </row>
    <row r="18" spans="1:7" x14ac:dyDescent="0.35">
      <c r="A18" s="1"/>
      <c r="B18" s="24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35">
      <c r="A19" s="1"/>
      <c r="B19" s="37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35">
      <c r="A20" s="1"/>
      <c r="B20" s="26" t="s">
        <v>10</v>
      </c>
      <c r="C20" s="27">
        <f>-C19*'Fane 5. Individuelt eff. krav'!G12</f>
        <v>0</v>
      </c>
      <c r="D20" s="28" t="s">
        <v>3</v>
      </c>
      <c r="E20" s="27">
        <f>-E19*'Fane 5. Individuelt eff. krav'!G12</f>
        <v>0</v>
      </c>
      <c r="F20" s="28" t="s">
        <v>3</v>
      </c>
      <c r="G20" s="1"/>
    </row>
    <row r="21" spans="1:7" x14ac:dyDescent="0.35">
      <c r="A21" s="1"/>
      <c r="B21" s="26" t="s">
        <v>114</v>
      </c>
      <c r="C21" s="27">
        <f>-C19*'Fane 14. Nøgletal'!C29</f>
        <v>0</v>
      </c>
      <c r="D21" s="28" t="s">
        <v>3</v>
      </c>
      <c r="E21" s="27">
        <f>-E19*'Fane 14. Nøgletal'!C24</f>
        <v>0</v>
      </c>
      <c r="F21" s="28" t="s">
        <v>3</v>
      </c>
      <c r="G21" s="1"/>
    </row>
    <row r="22" spans="1:7" x14ac:dyDescent="0.35">
      <c r="A22" s="1"/>
      <c r="B22" s="37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95" t="s">
        <v>166</v>
      </c>
      <c r="C24" s="96"/>
      <c r="D24" s="96"/>
      <c r="E24" s="96"/>
      <c r="F24" s="97"/>
      <c r="G24" s="1"/>
    </row>
    <row r="25" spans="1:7" x14ac:dyDescent="0.35">
      <c r="A25" s="1"/>
      <c r="B25" s="55" t="s">
        <v>18</v>
      </c>
      <c r="C25" s="55" t="s">
        <v>12</v>
      </c>
      <c r="D25" s="56"/>
      <c r="E25" s="55" t="s">
        <v>34</v>
      </c>
      <c r="F25" s="36"/>
      <c r="G25" s="1"/>
    </row>
    <row r="26" spans="1:7" x14ac:dyDescent="0.35">
      <c r="A26" s="1"/>
      <c r="B26" s="24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35">
      <c r="A27" s="1"/>
      <c r="B27" s="37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35">
      <c r="A28" s="1"/>
      <c r="B28" s="26" t="s">
        <v>10</v>
      </c>
      <c r="C28" s="27">
        <f>-C27*'Fane 5. Individuelt eff. krav'!G12</f>
        <v>0</v>
      </c>
      <c r="D28" s="28" t="s">
        <v>3</v>
      </c>
      <c r="E28" s="27">
        <f>-E27*'Fane 5. Individuelt eff. krav'!G12</f>
        <v>0</v>
      </c>
      <c r="F28" s="28" t="s">
        <v>3</v>
      </c>
      <c r="G28" s="1"/>
    </row>
    <row r="29" spans="1:7" x14ac:dyDescent="0.35">
      <c r="A29" s="1"/>
      <c r="B29" s="26" t="s">
        <v>114</v>
      </c>
      <c r="C29" s="27">
        <f>-C27*'Fane 14. Nøgletal'!C29</f>
        <v>0</v>
      </c>
      <c r="D29" s="28" t="s">
        <v>3</v>
      </c>
      <c r="E29" s="27">
        <f>-E27*'Fane 14. Nøgletal'!C24</f>
        <v>0</v>
      </c>
      <c r="F29" s="28" t="s">
        <v>3</v>
      </c>
      <c r="G29" s="1"/>
    </row>
    <row r="30" spans="1:7" x14ac:dyDescent="0.35">
      <c r="A30" s="1"/>
      <c r="B30" s="37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95" t="s">
        <v>224</v>
      </c>
      <c r="C32" s="96"/>
      <c r="D32" s="96"/>
      <c r="E32" s="96"/>
      <c r="F32" s="97"/>
      <c r="G32" s="1"/>
    </row>
    <row r="33" spans="1:7" x14ac:dyDescent="0.35">
      <c r="A33" s="1"/>
      <c r="B33" s="55" t="s">
        <v>18</v>
      </c>
      <c r="C33" s="55" t="s">
        <v>12</v>
      </c>
      <c r="D33" s="56"/>
      <c r="E33" s="55" t="s">
        <v>34</v>
      </c>
      <c r="F33" s="36"/>
      <c r="G33" s="1"/>
    </row>
    <row r="34" spans="1:7" x14ac:dyDescent="0.35">
      <c r="A34" s="1"/>
      <c r="B34" s="24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35">
      <c r="A35" s="1"/>
      <c r="B35" s="37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35">
      <c r="A36" s="1"/>
      <c r="B36" s="26" t="s">
        <v>10</v>
      </c>
      <c r="C36" s="27">
        <f>-C35*'Fane 5. Individuelt eff. krav'!G12</f>
        <v>0</v>
      </c>
      <c r="D36" s="28" t="s">
        <v>3</v>
      </c>
      <c r="E36" s="27">
        <f>-E35*'Fane 5. Individuelt eff. krav'!G12</f>
        <v>0</v>
      </c>
      <c r="F36" s="28" t="s">
        <v>3</v>
      </c>
      <c r="G36" s="1"/>
    </row>
    <row r="37" spans="1:7" x14ac:dyDescent="0.35">
      <c r="A37" s="1"/>
      <c r="B37" s="26" t="s">
        <v>114</v>
      </c>
      <c r="C37" s="27">
        <f>-C35*'Fane 14. Nøgletal'!C29</f>
        <v>0</v>
      </c>
      <c r="D37" s="28" t="s">
        <v>3</v>
      </c>
      <c r="E37" s="27">
        <f>-E35*'Fane 14. Nøgletal'!C24</f>
        <v>0</v>
      </c>
      <c r="F37" s="28" t="s">
        <v>3</v>
      </c>
      <c r="G37" s="1"/>
    </row>
    <row r="38" spans="1:7" x14ac:dyDescent="0.35">
      <c r="A38" s="1"/>
      <c r="B38" s="37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</sheetData>
  <sheetProtection algorithmName="SHA-512" hashValue="05AdD7VE7Dnnq8hkWKt61HCb2NaFBByakszq6XNgfZpuFZf3KlfPACPNVYXs1JG/wk1iSYVbYZYbwRO3+nQy1A==" saltValue="EpPJWMfpuGEKQWXeUAPhH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3"/>
  <dimension ref="A1:G50"/>
  <sheetViews>
    <sheetView showGridLines="0" view="pageLayout" zoomScaleNormal="100" workbookViewId="0"/>
  </sheetViews>
  <sheetFormatPr defaultColWidth="9.1796875" defaultRowHeight="14.5" x14ac:dyDescent="0.35"/>
  <cols>
    <col min="1" max="1" width="5.1796875" style="2" customWidth="1"/>
    <col min="2" max="2" width="34.453125" style="2" customWidth="1"/>
    <col min="3" max="3" width="16.26953125" style="2" customWidth="1"/>
    <col min="4" max="4" width="3.26953125" style="2" customWidth="1"/>
    <col min="5" max="5" width="19.1796875" style="2" customWidth="1"/>
    <col min="6" max="6" width="3.26953125" style="2" customWidth="1"/>
    <col min="7" max="7" width="5.1796875" style="2" customWidth="1"/>
    <col min="8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35">
      <c r="A4" s="1"/>
      <c r="B4" s="103"/>
      <c r="C4" s="103"/>
      <c r="D4" s="103"/>
      <c r="E4" s="103"/>
      <c r="F4" s="103"/>
      <c r="G4" s="1"/>
    </row>
    <row r="5" spans="1:7" x14ac:dyDescent="0.35">
      <c r="A5" s="1"/>
      <c r="B5" s="103"/>
      <c r="C5" s="103"/>
      <c r="D5" s="103"/>
      <c r="E5" s="103"/>
      <c r="F5" s="103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95" t="s">
        <v>103</v>
      </c>
      <c r="C8" s="96"/>
      <c r="D8" s="96"/>
      <c r="E8" s="96"/>
      <c r="F8" s="97"/>
      <c r="G8" s="1"/>
    </row>
    <row r="9" spans="1:7" x14ac:dyDescent="0.3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3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3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3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3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3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3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3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3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3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3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3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3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3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3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3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</sheetData>
  <sheetProtection algorithmName="SHA-512" hashValue="dybN4qATKC8Xgyd+2z2Wrl8WZNOpAWlYoFclihkmlpU5SUDAJx1Z5DQWqUK3APvc6wnhXhZH4A6e1fAZO0wKDQ==" saltValue="luKkZ11ObPlkuRqhrVUNV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8"/>
  <dimension ref="A1:G45"/>
  <sheetViews>
    <sheetView showGridLines="0" view="pageLayout" zoomScaleNormal="100" workbookViewId="0"/>
  </sheetViews>
  <sheetFormatPr defaultColWidth="9.1796875" defaultRowHeight="14.5" x14ac:dyDescent="0.35"/>
  <cols>
    <col min="1" max="1" width="5.453125" style="2" customWidth="1"/>
    <col min="2" max="2" width="36.453125" style="2" customWidth="1"/>
    <col min="3" max="3" width="15.54296875" style="2" customWidth="1"/>
    <col min="4" max="4" width="3.26953125" style="2" customWidth="1"/>
    <col min="5" max="5" width="17.1796875" style="2" customWidth="1"/>
    <col min="6" max="6" width="3.26953125" style="2" customWidth="1"/>
    <col min="7" max="7" width="5.81640625" style="2" customWidth="1"/>
    <col min="8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35">
      <c r="A4" s="1"/>
      <c r="B4" s="103"/>
      <c r="C4" s="103"/>
      <c r="D4" s="103"/>
      <c r="E4" s="103"/>
      <c r="F4" s="103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35">
      <c r="A9" s="1"/>
      <c r="B9" s="35" t="s">
        <v>159</v>
      </c>
      <c r="C9" s="35" t="s">
        <v>12</v>
      </c>
      <c r="D9" s="36"/>
      <c r="E9" s="35" t="s">
        <v>34</v>
      </c>
      <c r="F9" s="36"/>
      <c r="G9" s="1"/>
    </row>
    <row r="10" spans="1:7" x14ac:dyDescent="0.35">
      <c r="A10" s="1"/>
      <c r="B10" s="24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3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3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</sheetData>
  <sheetProtection algorithmName="SHA-512" hashValue="x5jwiknajAqPd5DDkZy2Jz1gX467Hy/LmI15dplMQD3dRjOtoHatYUjO/oTkpL1ZNS3qZVI5ZC/Pjr4N4/W2oQ==" saltValue="lRoJaOkJFBYdiFYPiq1CW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4"/>
  <dimension ref="A1:G41"/>
  <sheetViews>
    <sheetView showGridLines="0" view="pageLayout" zoomScaleNormal="100" workbookViewId="0"/>
  </sheetViews>
  <sheetFormatPr defaultColWidth="9.1796875" defaultRowHeight="14.5" x14ac:dyDescent="0.35"/>
  <cols>
    <col min="1" max="1" width="5.1796875" style="2" customWidth="1"/>
    <col min="2" max="2" width="36.453125" style="2" customWidth="1"/>
    <col min="3" max="3" width="15.7265625" style="2" customWidth="1"/>
    <col min="4" max="4" width="3.26953125" style="2" customWidth="1"/>
    <col min="5" max="5" width="18.453125" style="2" customWidth="1"/>
    <col min="6" max="6" width="3.26953125" style="2" customWidth="1"/>
    <col min="7" max="7" width="5.1796875" style="2" customWidth="1"/>
    <col min="8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35">
      <c r="A4" s="1"/>
      <c r="B4" s="103"/>
      <c r="C4" s="103"/>
      <c r="D4" s="103"/>
      <c r="E4" s="103"/>
      <c r="F4" s="103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35">
      <c r="A9" s="1"/>
      <c r="B9" s="35" t="s">
        <v>19</v>
      </c>
      <c r="C9" s="35" t="s">
        <v>12</v>
      </c>
      <c r="D9" s="36"/>
      <c r="E9" s="35" t="s">
        <v>34</v>
      </c>
      <c r="F9" s="36"/>
      <c r="G9" s="1"/>
    </row>
    <row r="10" spans="1:7" x14ac:dyDescent="0.35">
      <c r="A10" s="1"/>
      <c r="B10" s="24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35">
      <c r="A11" s="1"/>
      <c r="B11" s="37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35">
      <c r="A12" s="1"/>
      <c r="B12" s="37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95" t="s">
        <v>108</v>
      </c>
      <c r="C14" s="96"/>
      <c r="D14" s="96"/>
      <c r="E14" s="96"/>
      <c r="F14" s="97"/>
      <c r="G14" s="1"/>
    </row>
    <row r="15" spans="1:7" x14ac:dyDescent="0.35">
      <c r="A15" s="1"/>
      <c r="B15" s="35" t="s">
        <v>19</v>
      </c>
      <c r="C15" s="35" t="s">
        <v>12</v>
      </c>
      <c r="D15" s="36"/>
      <c r="E15" s="35" t="s">
        <v>34</v>
      </c>
      <c r="F15" s="36"/>
      <c r="G15" s="1"/>
    </row>
    <row r="16" spans="1:7" x14ac:dyDescent="0.35">
      <c r="A16" s="1"/>
      <c r="B16" s="24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35">
      <c r="A17" s="1"/>
      <c r="B17" s="37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35">
      <c r="A18" s="1"/>
      <c r="B18" s="37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95" t="s">
        <v>169</v>
      </c>
      <c r="C20" s="96"/>
      <c r="D20" s="96"/>
      <c r="E20" s="96"/>
      <c r="F20" s="97"/>
      <c r="G20" s="1"/>
    </row>
    <row r="21" spans="1:7" x14ac:dyDescent="0.35">
      <c r="A21" s="1"/>
      <c r="B21" s="35" t="s">
        <v>19</v>
      </c>
      <c r="C21" s="35" t="s">
        <v>12</v>
      </c>
      <c r="D21" s="36"/>
      <c r="E21" s="35" t="s">
        <v>34</v>
      </c>
      <c r="F21" s="36"/>
      <c r="G21" s="1"/>
    </row>
    <row r="22" spans="1:7" x14ac:dyDescent="0.35">
      <c r="A22" s="1"/>
      <c r="B22" s="24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35">
      <c r="A23" s="1"/>
      <c r="B23" s="37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35">
      <c r="A24" s="1"/>
      <c r="B24" s="37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95" t="s">
        <v>231</v>
      </c>
      <c r="C26" s="96"/>
      <c r="D26" s="96"/>
      <c r="E26" s="96"/>
      <c r="F26" s="97"/>
      <c r="G26" s="1"/>
    </row>
    <row r="27" spans="1:7" x14ac:dyDescent="0.35">
      <c r="A27" s="1"/>
      <c r="B27" s="35" t="s">
        <v>19</v>
      </c>
      <c r="C27" s="35" t="s">
        <v>12</v>
      </c>
      <c r="D27" s="36"/>
      <c r="E27" s="35" t="s">
        <v>34</v>
      </c>
      <c r="F27" s="36"/>
      <c r="G27" s="1"/>
    </row>
    <row r="28" spans="1:7" x14ac:dyDescent="0.35">
      <c r="A28" s="1"/>
      <c r="B28" s="24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35">
      <c r="A29" s="1"/>
      <c r="B29" s="37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35">
      <c r="A30" s="1"/>
      <c r="B30" s="37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</sheetData>
  <sheetProtection algorithmName="SHA-512" hashValue="ocb24x4IkUVnW/7Ve0J8EKkXMDYsueqZUB4ktpMzwZbxJcZq3P+7PRH4KTsYywTaFwh9zXQs6yK/3OnLCfMKKQ==" saltValue="JxQGqx56R0hCXz/JRLOlq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D51"/>
  <sheetViews>
    <sheetView showGridLines="0" view="pageLayout" zoomScaleNormal="100" workbookViewId="0"/>
  </sheetViews>
  <sheetFormatPr defaultColWidth="9.1796875" defaultRowHeight="14.5" x14ac:dyDescent="0.35"/>
  <cols>
    <col min="1" max="1" width="11.1796875" style="2" customWidth="1"/>
    <col min="2" max="2" width="55.453125" style="2" customWidth="1"/>
    <col min="3" max="3" width="6.26953125" style="2" customWidth="1"/>
    <col min="4" max="4" width="12.26953125" style="2" customWidth="1"/>
    <col min="5" max="16384" width="9.1796875" style="2"/>
  </cols>
  <sheetData>
    <row r="1" spans="1:4" x14ac:dyDescent="0.35">
      <c r="A1" s="1"/>
      <c r="B1" s="1"/>
      <c r="C1" s="1"/>
      <c r="D1" s="1"/>
    </row>
    <row r="2" spans="1:4" x14ac:dyDescent="0.35">
      <c r="A2" s="1"/>
      <c r="B2" s="1"/>
      <c r="C2" s="1"/>
      <c r="D2" s="1"/>
    </row>
    <row r="3" spans="1:4" ht="15" customHeight="1" x14ac:dyDescent="0.35">
      <c r="A3" s="1"/>
      <c r="B3" s="103" t="s">
        <v>189</v>
      </c>
      <c r="C3" s="103"/>
      <c r="D3" s="1"/>
    </row>
    <row r="4" spans="1:4" ht="25.5" customHeight="1" x14ac:dyDescent="0.35">
      <c r="A4" s="1"/>
      <c r="B4" s="103"/>
      <c r="C4" s="103"/>
      <c r="D4" s="1"/>
    </row>
    <row r="5" spans="1:4" x14ac:dyDescent="0.35">
      <c r="A5" s="1"/>
      <c r="B5" s="1"/>
      <c r="C5" s="1"/>
      <c r="D5" s="1"/>
    </row>
    <row r="6" spans="1:4" x14ac:dyDescent="0.35">
      <c r="A6" s="1"/>
      <c r="B6" s="1"/>
      <c r="C6" s="1"/>
      <c r="D6" s="1"/>
    </row>
    <row r="7" spans="1:4" x14ac:dyDescent="0.35">
      <c r="A7" s="1"/>
      <c r="B7" s="1"/>
      <c r="C7" s="1"/>
      <c r="D7" s="1"/>
    </row>
    <row r="8" spans="1:4" x14ac:dyDescent="0.35">
      <c r="A8" s="1"/>
      <c r="B8" s="37" t="s">
        <v>15</v>
      </c>
      <c r="C8" s="20"/>
      <c r="D8" s="1"/>
    </row>
    <row r="9" spans="1:4" x14ac:dyDescent="0.35">
      <c r="A9" s="1"/>
      <c r="B9" s="65" t="s">
        <v>137</v>
      </c>
      <c r="C9" s="25">
        <v>1.2699999999999999E-2</v>
      </c>
      <c r="D9" s="1"/>
    </row>
    <row r="10" spans="1:4" x14ac:dyDescent="0.35">
      <c r="A10" s="1"/>
      <c r="B10" s="65" t="s">
        <v>138</v>
      </c>
      <c r="C10" s="25">
        <v>1.7500000000000002E-2</v>
      </c>
      <c r="D10" s="1"/>
    </row>
    <row r="11" spans="1:4" x14ac:dyDescent="0.35">
      <c r="A11" s="1"/>
      <c r="B11" s="65" t="s">
        <v>24</v>
      </c>
      <c r="C11" s="25">
        <v>1.6899999999999998E-2</v>
      </c>
      <c r="D11" s="1"/>
    </row>
    <row r="12" spans="1:4" x14ac:dyDescent="0.35">
      <c r="A12" s="1"/>
      <c r="B12" s="38" t="s">
        <v>254</v>
      </c>
      <c r="C12" s="39">
        <v>1.9699999999999999E-2</v>
      </c>
      <c r="D12" s="1"/>
    </row>
    <row r="13" spans="1:4" x14ac:dyDescent="0.35">
      <c r="A13" s="1"/>
      <c r="B13" s="38" t="s">
        <v>162</v>
      </c>
      <c r="C13" s="39">
        <v>1.2200000000000001E-2</v>
      </c>
      <c r="D13" s="1"/>
    </row>
    <row r="14" spans="1:4" x14ac:dyDescent="0.35">
      <c r="A14" s="1"/>
      <c r="B14" s="65" t="s">
        <v>253</v>
      </c>
      <c r="C14" s="50">
        <v>3.3E-3</v>
      </c>
      <c r="D14" s="1"/>
    </row>
    <row r="15" spans="1:4" x14ac:dyDescent="0.35">
      <c r="A15" s="1"/>
      <c r="B15" s="37"/>
      <c r="C15" s="20"/>
      <c r="D15" s="1"/>
    </row>
    <row r="16" spans="1:4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A18" s="1"/>
      <c r="B18" s="37" t="s">
        <v>121</v>
      </c>
      <c r="C18" s="20"/>
      <c r="D18" s="1"/>
    </row>
    <row r="19" spans="1:4" x14ac:dyDescent="0.35">
      <c r="A19" s="1"/>
      <c r="B19" s="65" t="s">
        <v>139</v>
      </c>
      <c r="C19" s="23">
        <v>9.1000000000000004E-3</v>
      </c>
      <c r="D19" s="1"/>
    </row>
    <row r="20" spans="1:4" x14ac:dyDescent="0.35">
      <c r="A20" s="1"/>
      <c r="B20" s="65" t="s">
        <v>190</v>
      </c>
      <c r="C20" s="23">
        <v>1.77E-2</v>
      </c>
      <c r="D20" s="1"/>
    </row>
    <row r="21" spans="1:4" x14ac:dyDescent="0.35">
      <c r="A21" s="1"/>
      <c r="B21" s="65" t="s">
        <v>191</v>
      </c>
      <c r="C21" s="23">
        <v>8.6999999999999994E-3</v>
      </c>
      <c r="D21" s="1"/>
    </row>
    <row r="22" spans="1:4" x14ac:dyDescent="0.35">
      <c r="A22" s="1"/>
      <c r="B22" s="65" t="s">
        <v>140</v>
      </c>
      <c r="C22" s="40">
        <v>2.8400000000000002E-2</v>
      </c>
      <c r="D22" s="1"/>
    </row>
    <row r="23" spans="1:4" x14ac:dyDescent="0.35">
      <c r="A23" s="1"/>
      <c r="B23" s="65" t="s">
        <v>192</v>
      </c>
      <c r="C23" s="40">
        <v>2.75E-2</v>
      </c>
      <c r="D23" s="1"/>
    </row>
    <row r="24" spans="1:4" x14ac:dyDescent="0.35">
      <c r="A24" s="1"/>
      <c r="B24" s="65" t="s">
        <v>193</v>
      </c>
      <c r="C24" s="40">
        <v>1.4800000000000001E-2</v>
      </c>
      <c r="D24" s="1"/>
    </row>
    <row r="25" spans="1:4" x14ac:dyDescent="0.35">
      <c r="A25" s="1"/>
      <c r="B25" s="37"/>
      <c r="C25" s="20"/>
      <c r="D25" s="1"/>
    </row>
    <row r="26" spans="1:4" x14ac:dyDescent="0.35">
      <c r="A26" s="1"/>
      <c r="B26" s="1"/>
      <c r="C26" s="1"/>
      <c r="D26" s="1"/>
    </row>
    <row r="27" spans="1:4" x14ac:dyDescent="0.35">
      <c r="A27" s="1"/>
      <c r="B27" s="1"/>
      <c r="C27" s="1"/>
      <c r="D27" s="1"/>
    </row>
    <row r="28" spans="1:4" x14ac:dyDescent="0.35">
      <c r="A28" s="1"/>
      <c r="B28" s="37" t="s">
        <v>122</v>
      </c>
      <c r="C28" s="20"/>
      <c r="D28" s="1"/>
    </row>
    <row r="29" spans="1:4" x14ac:dyDescent="0.35">
      <c r="A29" s="1"/>
      <c r="B29" s="65" t="s">
        <v>141</v>
      </c>
      <c r="C29" s="25">
        <v>0.02</v>
      </c>
      <c r="D29" s="1"/>
    </row>
    <row r="30" spans="1:4" x14ac:dyDescent="0.35">
      <c r="A30" s="1"/>
      <c r="B30" s="37"/>
      <c r="C30" s="20"/>
      <c r="D30" s="1"/>
    </row>
    <row r="31" spans="1:4" x14ac:dyDescent="0.35">
      <c r="A31" s="1"/>
      <c r="B31" s="1"/>
      <c r="C31" s="1"/>
      <c r="D31" s="1"/>
    </row>
    <row r="32" spans="1:4" x14ac:dyDescent="0.35">
      <c r="A32" s="1"/>
      <c r="B32" s="1"/>
      <c r="C32" s="1"/>
      <c r="D32" s="1"/>
    </row>
    <row r="33" spans="1:4" x14ac:dyDescent="0.35">
      <c r="A33" s="1"/>
      <c r="B33" s="1"/>
      <c r="C33" s="1"/>
      <c r="D33" s="1"/>
    </row>
    <row r="34" spans="1:4" x14ac:dyDescent="0.35">
      <c r="A34" s="1"/>
      <c r="B34" s="1"/>
      <c r="C34" s="1"/>
      <c r="D34" s="1"/>
    </row>
    <row r="35" spans="1:4" x14ac:dyDescent="0.35">
      <c r="A35" s="1"/>
      <c r="B35" s="1"/>
      <c r="C35" s="1"/>
      <c r="D35" s="1"/>
    </row>
    <row r="36" spans="1:4" x14ac:dyDescent="0.35">
      <c r="A36" s="1"/>
      <c r="B36" s="1"/>
      <c r="C36" s="1"/>
      <c r="D36" s="1"/>
    </row>
    <row r="37" spans="1:4" x14ac:dyDescent="0.35">
      <c r="A37" s="1"/>
      <c r="B37" s="1"/>
      <c r="C37" s="1"/>
      <c r="D37" s="1"/>
    </row>
    <row r="38" spans="1:4" x14ac:dyDescent="0.35">
      <c r="A38" s="1"/>
      <c r="B38" s="1"/>
      <c r="C38" s="1"/>
      <c r="D38" s="1"/>
    </row>
    <row r="39" spans="1:4" x14ac:dyDescent="0.35">
      <c r="A39" s="1"/>
      <c r="B39" s="1"/>
      <c r="C39" s="1"/>
      <c r="D39" s="1"/>
    </row>
    <row r="40" spans="1:4" x14ac:dyDescent="0.35">
      <c r="A40" s="1"/>
      <c r="B40" s="1"/>
      <c r="C40" s="1"/>
      <c r="D40" s="1"/>
    </row>
    <row r="41" spans="1:4" x14ac:dyDescent="0.35">
      <c r="A41" s="1"/>
      <c r="B41" s="1"/>
      <c r="C41" s="1"/>
      <c r="D41" s="1"/>
    </row>
    <row r="42" spans="1:4" x14ac:dyDescent="0.35">
      <c r="A42" s="1"/>
      <c r="B42" s="1"/>
      <c r="C42" s="1"/>
      <c r="D42" s="1"/>
    </row>
    <row r="43" spans="1:4" x14ac:dyDescent="0.35">
      <c r="A43" s="1"/>
      <c r="B43" s="1"/>
      <c r="C43" s="1"/>
      <c r="D43" s="1"/>
    </row>
    <row r="44" spans="1:4" x14ac:dyDescent="0.35">
      <c r="A44" s="1"/>
      <c r="B44" s="1"/>
      <c r="C44" s="1"/>
      <c r="D44" s="1"/>
    </row>
    <row r="45" spans="1:4" x14ac:dyDescent="0.35">
      <c r="A45" s="1"/>
      <c r="B45" s="1"/>
      <c r="C45" s="1"/>
      <c r="D45" s="1"/>
    </row>
    <row r="46" spans="1:4" x14ac:dyDescent="0.35">
      <c r="A46" s="1"/>
      <c r="B46" s="1"/>
      <c r="C46" s="1"/>
      <c r="D46" s="1"/>
    </row>
    <row r="47" spans="1:4" x14ac:dyDescent="0.35">
      <c r="A47" s="1"/>
      <c r="B47" s="1"/>
      <c r="C47" s="1"/>
      <c r="D47" s="1"/>
    </row>
    <row r="48" spans="1:4" x14ac:dyDescent="0.35">
      <c r="A48" s="1"/>
      <c r="B48" s="1"/>
      <c r="C48" s="1"/>
      <c r="D48" s="1"/>
    </row>
    <row r="49" spans="1:4" x14ac:dyDescent="0.35">
      <c r="A49" s="1"/>
      <c r="B49" s="1"/>
      <c r="C49" s="1"/>
      <c r="D49" s="1"/>
    </row>
    <row r="50" spans="1:4" x14ac:dyDescent="0.35">
      <c r="A50" s="1"/>
      <c r="B50" s="1"/>
      <c r="C50" s="1"/>
      <c r="D50" s="1"/>
    </row>
    <row r="51" spans="1:4" x14ac:dyDescent="0.35">
      <c r="A51" s="1"/>
      <c r="B51" s="1"/>
      <c r="C51" s="1"/>
      <c r="D51" s="1"/>
    </row>
  </sheetData>
  <sheetProtection algorithmName="SHA-512" hashValue="ytXX4iF79v6JzflKlTp+kFNJ/fv2YQHqNUvoa76Ceajwk+wuasQ4epkc50et/nfZQjGGo2ok5J4MoP4HMoPr1w==" saltValue="emZ4klBT3qhsxMDgc4iTM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49"/>
  <sheetViews>
    <sheetView showGridLines="0" view="pageLayout" zoomScaleNormal="100" workbookViewId="0"/>
  </sheetViews>
  <sheetFormatPr defaultColWidth="9.1796875" defaultRowHeight="14.5" x14ac:dyDescent="0.35"/>
  <cols>
    <col min="1" max="1" width="6.54296875" style="2" customWidth="1"/>
    <col min="2" max="2" width="58.54296875" style="2" customWidth="1"/>
    <col min="3" max="3" width="12.54296875" style="2" customWidth="1"/>
    <col min="4" max="4" width="2.81640625" style="2" bestFit="1" customWidth="1"/>
    <col min="5" max="5" width="6.26953125" style="2" customWidth="1"/>
    <col min="6" max="16384" width="9.17968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7" t="s">
        <v>194</v>
      </c>
      <c r="C3" s="87"/>
      <c r="D3" s="87"/>
      <c r="E3" s="1"/>
    </row>
    <row r="4" spans="1:5" ht="15" customHeight="1" x14ac:dyDescent="0.35">
      <c r="A4" s="1"/>
      <c r="B4" s="87"/>
      <c r="C4" s="87"/>
      <c r="D4" s="87"/>
      <c r="E4" s="1"/>
    </row>
    <row r="5" spans="1:5" x14ac:dyDescent="0.35">
      <c r="A5" s="1"/>
      <c r="B5" s="1"/>
      <c r="C5" s="1"/>
      <c r="D5" s="1"/>
      <c r="E5" s="1"/>
    </row>
    <row r="6" spans="1:5" x14ac:dyDescent="0.35">
      <c r="A6" s="1"/>
      <c r="B6" s="1"/>
      <c r="C6" s="1"/>
      <c r="D6" s="1"/>
      <c r="E6" s="1"/>
    </row>
    <row r="7" spans="1:5" x14ac:dyDescent="0.35">
      <c r="A7" s="1"/>
      <c r="B7" s="1"/>
      <c r="C7" s="1"/>
      <c r="D7" s="1"/>
      <c r="E7" s="1"/>
    </row>
    <row r="8" spans="1:5" x14ac:dyDescent="0.35">
      <c r="A8" s="1"/>
      <c r="B8" s="37" t="s">
        <v>14</v>
      </c>
      <c r="C8" s="31"/>
      <c r="D8" s="20"/>
      <c r="E8" s="1"/>
    </row>
    <row r="9" spans="1:5" x14ac:dyDescent="0.35">
      <c r="A9" s="1"/>
      <c r="B9" s="32" t="s">
        <v>260</v>
      </c>
      <c r="C9" s="7">
        <f>'Fane 3. Omkostninger i ØR2021'!E20</f>
        <v>26986577.796627257</v>
      </c>
      <c r="D9" s="8" t="s">
        <v>3</v>
      </c>
      <c r="E9" s="1"/>
    </row>
    <row r="10" spans="1:5" ht="17.149999999999999" customHeight="1" x14ac:dyDescent="0.35">
      <c r="A10" s="1"/>
      <c r="B10" s="54" t="s">
        <v>43</v>
      </c>
      <c r="C10" s="7">
        <f>'Fane 10.1. Varige tillæg'!C13</f>
        <v>43333.530300000006</v>
      </c>
      <c r="D10" s="8" t="s">
        <v>3</v>
      </c>
      <c r="E10" s="1"/>
    </row>
    <row r="11" spans="1:5" ht="17.149999999999999" customHeight="1" x14ac:dyDescent="0.35">
      <c r="A11" s="1"/>
      <c r="B11" s="54" t="s">
        <v>44</v>
      </c>
      <c r="C11" s="9">
        <f>'Fane 10.1. Varige tillæg'!E13</f>
        <v>0</v>
      </c>
      <c r="D11" s="8" t="s">
        <v>3</v>
      </c>
      <c r="E11" s="1"/>
    </row>
    <row r="12" spans="1:5" ht="17.149999999999999" customHeight="1" x14ac:dyDescent="0.35">
      <c r="A12" s="1"/>
      <c r="B12" s="54" t="s">
        <v>29</v>
      </c>
      <c r="C12" s="9">
        <f>-'Fane 13. Bortfald'!C12</f>
        <v>0</v>
      </c>
      <c r="D12" s="8" t="s">
        <v>3</v>
      </c>
      <c r="E12" s="1"/>
    </row>
    <row r="13" spans="1:5" ht="17.149999999999999" customHeight="1" x14ac:dyDescent="0.35">
      <c r="A13" s="1"/>
      <c r="B13" s="54" t="s">
        <v>28</v>
      </c>
      <c r="C13" s="9">
        <f>-'Fane 13. Bortfald'!E12</f>
        <v>0</v>
      </c>
      <c r="D13" s="8" t="s">
        <v>3</v>
      </c>
      <c r="E13" s="1"/>
    </row>
    <row r="14" spans="1:5" ht="17.149999999999999" customHeight="1" x14ac:dyDescent="0.35">
      <c r="A14" s="1"/>
      <c r="B14" s="54" t="s">
        <v>149</v>
      </c>
      <c r="C14" s="9">
        <f>'Fane 12. Tilknyttet virksomhed'!C12</f>
        <v>0</v>
      </c>
      <c r="D14" s="8" t="s">
        <v>3</v>
      </c>
      <c r="E14" s="1"/>
    </row>
    <row r="15" spans="1:5" ht="17.149999999999999" customHeight="1" x14ac:dyDescent="0.35">
      <c r="A15" s="1"/>
      <c r="B15" s="54" t="s">
        <v>150</v>
      </c>
      <c r="C15" s="9">
        <f>'Fane 12. Tilknyttet virksomhed'!E12</f>
        <v>0</v>
      </c>
      <c r="D15" s="8" t="s">
        <v>3</v>
      </c>
      <c r="E15" s="1"/>
    </row>
    <row r="16" spans="1:5" ht="17.149999999999999" customHeight="1" x14ac:dyDescent="0.35">
      <c r="A16" s="1"/>
      <c r="B16" s="54" t="s">
        <v>20</v>
      </c>
      <c r="C16" s="9">
        <f>SUM(C9:C15)*'Fane 14. Nøgletal'!C14</f>
        <v>89198.707378859937</v>
      </c>
      <c r="D16" s="8" t="s">
        <v>3</v>
      </c>
      <c r="E16" s="1"/>
    </row>
    <row r="17" spans="1:5" ht="17.149999999999999" customHeight="1" x14ac:dyDescent="0.35">
      <c r="A17" s="1"/>
      <c r="B17" s="54" t="s">
        <v>10</v>
      </c>
      <c r="C17" s="9">
        <f>-SUM(C9:C16)*'Fane 5. Individuelt eff. krav'!G12</f>
        <v>-542382.20068612229</v>
      </c>
      <c r="D17" s="8" t="s">
        <v>3</v>
      </c>
      <c r="E17" s="1"/>
    </row>
    <row r="18" spans="1:5" ht="17.149999999999999" customHeight="1" x14ac:dyDescent="0.35">
      <c r="A18" s="1"/>
      <c r="B18" s="54" t="s">
        <v>26</v>
      </c>
      <c r="C18" s="9">
        <f>-'Fane 4.1. Gen. krav - drift'!G40</f>
        <v>-279072.27969138307</v>
      </c>
      <c r="D18" s="8" t="s">
        <v>3</v>
      </c>
      <c r="E18" s="1"/>
    </row>
    <row r="19" spans="1:5" ht="17.149999999999999" customHeight="1" x14ac:dyDescent="0.35">
      <c r="A19" s="1"/>
      <c r="B19" s="54" t="s">
        <v>27</v>
      </c>
      <c r="C19" s="9">
        <f>-'Fane 4.2. Gen. krav - anlæg'!G37</f>
        <v>-203937.33365970969</v>
      </c>
      <c r="D19" s="8" t="s">
        <v>3</v>
      </c>
      <c r="E19" s="1"/>
    </row>
    <row r="20" spans="1:5" ht="17.149999999999999" customHeight="1" x14ac:dyDescent="0.35">
      <c r="A20" s="1"/>
      <c r="B20" s="60" t="s">
        <v>22</v>
      </c>
      <c r="C20" s="10">
        <f>SUM(C9:C19)</f>
        <v>26093718.220268901</v>
      </c>
      <c r="D20" s="11" t="s">
        <v>3</v>
      </c>
      <c r="E20" s="1"/>
    </row>
    <row r="21" spans="1:5" ht="15" customHeight="1" x14ac:dyDescent="0.35">
      <c r="A21" s="1"/>
      <c r="B21" s="37" t="s">
        <v>13</v>
      </c>
      <c r="C21" s="31"/>
      <c r="D21" s="20"/>
      <c r="E21" s="1"/>
    </row>
    <row r="22" spans="1:5" ht="15" customHeight="1" x14ac:dyDescent="0.35">
      <c r="A22" s="1"/>
      <c r="B22" s="35" t="s">
        <v>13</v>
      </c>
      <c r="C22" s="10">
        <f>'Fane 6. Ikke-påvirkelige omk.'!C16+'Fane 6. Ikke-påvirkelige omk.'!C20+'Fane 6. Ikke-påvirkelige omk.'!C28</f>
        <v>1581409.8668513603</v>
      </c>
      <c r="D22" s="11" t="s">
        <v>3</v>
      </c>
      <c r="E22" s="1"/>
    </row>
    <row r="23" spans="1:5" ht="15" customHeight="1" x14ac:dyDescent="0.35">
      <c r="A23" s="1"/>
      <c r="B23" s="37" t="s">
        <v>94</v>
      </c>
      <c r="C23" s="31"/>
      <c r="D23" s="20"/>
      <c r="E23" s="1"/>
    </row>
    <row r="24" spans="1:5" ht="15" customHeight="1" x14ac:dyDescent="0.35">
      <c r="A24" s="1"/>
      <c r="B24" s="60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35">
      <c r="A25" s="1"/>
      <c r="B25" s="37" t="s">
        <v>93</v>
      </c>
      <c r="C25" s="31"/>
      <c r="D25" s="20"/>
      <c r="E25" s="1"/>
    </row>
    <row r="26" spans="1:5" ht="15" customHeight="1" x14ac:dyDescent="0.35">
      <c r="A26" s="1"/>
      <c r="B26" s="54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35">
      <c r="A27" s="1"/>
      <c r="B27" s="54" t="s">
        <v>90</v>
      </c>
      <c r="C27" s="9">
        <f>'Fane 10.2. Engangstillæg'!E14</f>
        <v>0</v>
      </c>
      <c r="D27" s="8" t="s">
        <v>3</v>
      </c>
      <c r="E27" s="1"/>
    </row>
    <row r="28" spans="1:5" x14ac:dyDescent="0.35">
      <c r="A28" s="1"/>
      <c r="B28" s="60" t="s">
        <v>95</v>
      </c>
      <c r="C28" s="10">
        <f>SUM(C26:C27)</f>
        <v>0</v>
      </c>
      <c r="D28" s="11" t="s">
        <v>3</v>
      </c>
      <c r="E28" s="1"/>
    </row>
    <row r="29" spans="1:5" x14ac:dyDescent="0.35">
      <c r="A29" s="1"/>
      <c r="B29" s="37" t="s">
        <v>187</v>
      </c>
      <c r="C29" s="31"/>
      <c r="D29" s="20"/>
      <c r="E29" s="1"/>
    </row>
    <row r="30" spans="1:5" x14ac:dyDescent="0.35">
      <c r="A30" s="1"/>
      <c r="B30" s="35" t="s">
        <v>285</v>
      </c>
      <c r="C30" s="10">
        <f>'Fane 7. Kontrol af ØR2020'!E34</f>
        <v>-299882.9451589752</v>
      </c>
      <c r="D30" s="11" t="s">
        <v>3</v>
      </c>
      <c r="E30" s="1"/>
    </row>
    <row r="31" spans="1:5" ht="15" customHeight="1" x14ac:dyDescent="0.35">
      <c r="A31" s="1"/>
      <c r="B31" s="37" t="s">
        <v>195</v>
      </c>
      <c r="C31" s="31"/>
      <c r="D31" s="20"/>
      <c r="E31" s="1"/>
    </row>
    <row r="32" spans="1:5" x14ac:dyDescent="0.35">
      <c r="A32" s="1"/>
      <c r="B32" s="35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35">
      <c r="A33" s="1"/>
      <c r="B33" s="34" t="s">
        <v>258</v>
      </c>
      <c r="C33" s="31"/>
      <c r="D33" s="20"/>
      <c r="E33" s="1"/>
    </row>
    <row r="34" spans="1:5" x14ac:dyDescent="0.3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35">
      <c r="A35" s="1"/>
      <c r="B35" s="37" t="s">
        <v>32</v>
      </c>
      <c r="C35" s="33">
        <f>SUM(C32,C30,C28,C24,C22,C20)</f>
        <v>27375245.141961288</v>
      </c>
      <c r="D35" s="34" t="s">
        <v>3</v>
      </c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</sheetData>
  <sheetProtection algorithmName="SHA-512" hashValue="eTtQKIZSw3yXPlsJ2KUKYxhHpHUmoWAFseRZ9FJiidlmk+j6i0VvQ21Psm+lbDOFllmU7WYcQWpV2o+kmnF9aA==" saltValue="7Lf/wVqozwxqEWWAMIxXc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E51"/>
  <sheetViews>
    <sheetView showGridLines="0" view="pageLayout" zoomScaleNormal="100" workbookViewId="0"/>
  </sheetViews>
  <sheetFormatPr defaultColWidth="9.1796875" defaultRowHeight="14.5" x14ac:dyDescent="0.35"/>
  <cols>
    <col min="1" max="1" width="5.1796875" style="2" customWidth="1"/>
    <col min="2" max="2" width="60.81640625" style="2" customWidth="1"/>
    <col min="3" max="3" width="12.26953125" style="2" bestFit="1" customWidth="1"/>
    <col min="4" max="4" width="3.26953125" style="2" customWidth="1"/>
    <col min="5" max="5" width="5.1796875" style="2" customWidth="1"/>
    <col min="6" max="16384" width="9.17968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7" t="s">
        <v>196</v>
      </c>
      <c r="C3" s="87"/>
      <c r="D3" s="87"/>
      <c r="E3" s="1"/>
    </row>
    <row r="4" spans="1:5" ht="15" customHeight="1" x14ac:dyDescent="0.35">
      <c r="A4" s="1"/>
      <c r="B4" s="87"/>
      <c r="C4" s="87"/>
      <c r="D4" s="87"/>
      <c r="E4" s="1"/>
    </row>
    <row r="5" spans="1:5" x14ac:dyDescent="0.35">
      <c r="A5" s="1"/>
      <c r="B5" s="88"/>
      <c r="C5" s="88"/>
      <c r="D5" s="88"/>
      <c r="E5" s="1"/>
    </row>
    <row r="6" spans="1:5" x14ac:dyDescent="0.35">
      <c r="A6" s="1"/>
      <c r="B6" s="1"/>
      <c r="C6" s="1"/>
      <c r="D6" s="1"/>
      <c r="E6" s="1"/>
    </row>
    <row r="7" spans="1:5" x14ac:dyDescent="0.35">
      <c r="A7" s="1"/>
      <c r="B7" s="1"/>
      <c r="C7" s="1"/>
      <c r="D7" s="1"/>
      <c r="E7" s="1"/>
    </row>
    <row r="8" spans="1:5" x14ac:dyDescent="0.35">
      <c r="A8" s="1"/>
      <c r="B8" s="37" t="s">
        <v>14</v>
      </c>
      <c r="C8" s="31"/>
      <c r="D8" s="20"/>
      <c r="E8" s="1"/>
    </row>
    <row r="9" spans="1:5" ht="15" customHeight="1" x14ac:dyDescent="0.35">
      <c r="A9" s="1"/>
      <c r="B9" s="32" t="s">
        <v>151</v>
      </c>
      <c r="C9" s="7">
        <f>'Fane 2.1. Økonomisk ramme 2022'!C20</f>
        <v>26093718.220268901</v>
      </c>
      <c r="D9" s="8" t="s">
        <v>3</v>
      </c>
      <c r="E9" s="1"/>
    </row>
    <row r="10" spans="1:5" ht="15" customHeight="1" x14ac:dyDescent="0.35">
      <c r="A10" s="1"/>
      <c r="B10" s="54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35">
      <c r="A11" s="1"/>
      <c r="B11" s="54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35">
      <c r="A12" s="1"/>
      <c r="B12" s="29" t="s">
        <v>20</v>
      </c>
      <c r="C12" s="9">
        <f>SUM(C9:C11)*'Fane 14. Nøgletal'!C14</f>
        <v>86109.270126887379</v>
      </c>
      <c r="D12" s="8" t="s">
        <v>3</v>
      </c>
      <c r="E12" s="1"/>
    </row>
    <row r="13" spans="1:5" ht="15" customHeight="1" x14ac:dyDescent="0.35">
      <c r="A13" s="1"/>
      <c r="B13" s="29" t="s">
        <v>10</v>
      </c>
      <c r="C13" s="9">
        <f>-SUM(C9:C12)*'Fane 5. Individuelt eff. krav'!G12</f>
        <v>-523596.54980791576</v>
      </c>
      <c r="D13" s="8" t="s">
        <v>3</v>
      </c>
      <c r="E13" s="1"/>
    </row>
    <row r="14" spans="1:5" ht="15" customHeight="1" x14ac:dyDescent="0.35">
      <c r="A14" s="1"/>
      <c r="B14" s="29" t="s">
        <v>26</v>
      </c>
      <c r="C14" s="9">
        <f>-'Fane 4.1. Gen. krav - drift'!G47</f>
        <v>-274393.35385007737</v>
      </c>
      <c r="D14" s="8" t="s">
        <v>3</v>
      </c>
      <c r="E14" s="1"/>
    </row>
    <row r="15" spans="1:5" ht="15" customHeight="1" x14ac:dyDescent="0.35">
      <c r="A15" s="1"/>
      <c r="B15" s="29" t="s">
        <v>27</v>
      </c>
      <c r="C15" s="9">
        <f>-'Fane 4.2. Gen. krav - anlæg'!G44</f>
        <v>-201582.0940232471</v>
      </c>
      <c r="D15" s="8" t="s">
        <v>3</v>
      </c>
      <c r="E15" s="1"/>
    </row>
    <row r="16" spans="1:5" ht="15" customHeight="1" x14ac:dyDescent="0.35">
      <c r="A16" s="1"/>
      <c r="B16" s="30" t="s">
        <v>22</v>
      </c>
      <c r="C16" s="10">
        <f>SUM(C9:C15)</f>
        <v>25180255.492714547</v>
      </c>
      <c r="D16" s="11" t="s">
        <v>3</v>
      </c>
      <c r="E16" s="1"/>
    </row>
    <row r="17" spans="1:5" x14ac:dyDescent="0.35">
      <c r="A17" s="1"/>
      <c r="B17" s="37" t="s">
        <v>13</v>
      </c>
      <c r="C17" s="31"/>
      <c r="D17" s="20"/>
      <c r="E17" s="1"/>
    </row>
    <row r="18" spans="1:5" ht="15" customHeight="1" x14ac:dyDescent="0.35">
      <c r="A18" s="1"/>
      <c r="B18" s="35" t="s">
        <v>13</v>
      </c>
      <c r="C18" s="10">
        <f>'Fane 6. Ikke-påvirkelige omk.'!C16*(1+'Fane 14. Nøgletal'!C14)+'Fane 6. Ikke-påvirkelige omk.'!C21+'Fane 6. Ikke-påvirkelige omk.'!C29</f>
        <v>1586628.5194119699</v>
      </c>
      <c r="D18" s="11" t="s">
        <v>3</v>
      </c>
      <c r="E18" s="1"/>
    </row>
    <row r="19" spans="1:5" ht="15" customHeight="1" x14ac:dyDescent="0.35">
      <c r="A19" s="1"/>
      <c r="B19" s="37" t="s">
        <v>94</v>
      </c>
      <c r="C19" s="31"/>
      <c r="D19" s="20"/>
      <c r="E19" s="1"/>
    </row>
    <row r="20" spans="1:5" ht="15" customHeight="1" x14ac:dyDescent="0.35">
      <c r="A20" s="1"/>
      <c r="B20" s="60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35">
      <c r="A21" s="1"/>
      <c r="B21" s="37" t="s">
        <v>93</v>
      </c>
      <c r="C21" s="31"/>
      <c r="D21" s="20"/>
      <c r="E21" s="1"/>
    </row>
    <row r="22" spans="1:5" ht="15" customHeight="1" x14ac:dyDescent="0.35">
      <c r="A22" s="1"/>
      <c r="B22" s="54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35">
      <c r="A23" s="1"/>
      <c r="B23" s="54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3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35">
      <c r="A25" s="1"/>
      <c r="B25" s="37" t="s">
        <v>187</v>
      </c>
      <c r="C25" s="31"/>
      <c r="D25" s="20"/>
      <c r="E25" s="1"/>
    </row>
    <row r="26" spans="1:5" ht="15" customHeight="1" x14ac:dyDescent="0.35">
      <c r="A26" s="1"/>
      <c r="B26" s="35" t="s">
        <v>285</v>
      </c>
      <c r="C26" s="10">
        <f>'Fane 7. Kontrol af ØR2020'!E34</f>
        <v>-299882.9451589752</v>
      </c>
      <c r="D26" s="11" t="s">
        <v>3</v>
      </c>
      <c r="E26" s="1"/>
    </row>
    <row r="27" spans="1:5" x14ac:dyDescent="0.35">
      <c r="A27" s="1"/>
      <c r="B27" s="34" t="s">
        <v>258</v>
      </c>
      <c r="C27" s="31"/>
      <c r="D27" s="20"/>
      <c r="E27" s="1"/>
    </row>
    <row r="28" spans="1:5" x14ac:dyDescent="0.3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35">
      <c r="A29" s="1"/>
      <c r="B29" s="37" t="s">
        <v>102</v>
      </c>
      <c r="C29" s="12">
        <f>SUM(C16,C18,C20,C24,C26,C28)</f>
        <v>26467001.066967539</v>
      </c>
      <c r="D29" s="13" t="s">
        <v>3</v>
      </c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  <row r="50" spans="1:5" x14ac:dyDescent="0.35">
      <c r="A50" s="1"/>
      <c r="B50" s="1"/>
      <c r="C50" s="1"/>
      <c r="D50" s="1"/>
      <c r="E50" s="1"/>
    </row>
    <row r="51" spans="1:5" x14ac:dyDescent="0.35">
      <c r="A51" s="1"/>
      <c r="B51" s="1"/>
      <c r="C51" s="1"/>
      <c r="D51" s="1"/>
      <c r="E51" s="1"/>
    </row>
  </sheetData>
  <sheetProtection algorithmName="SHA-512" hashValue="V1nHxcBtQbRdNoZyoP0LBeG2SxNXnUrEGTkILl5q7g4fdlHCHY2isFbJjDiA+KgQVA7fgIhUSQ/4k3wOciPL2w==" saltValue="6trLJhb8sVYrKK9lvio/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E49"/>
  <sheetViews>
    <sheetView showGridLines="0" view="pageLayout" zoomScaleNormal="100" workbookViewId="0"/>
  </sheetViews>
  <sheetFormatPr defaultColWidth="9.1796875" defaultRowHeight="14.5" x14ac:dyDescent="0.35"/>
  <cols>
    <col min="1" max="1" width="5.1796875" style="2" customWidth="1"/>
    <col min="2" max="2" width="62.1796875" style="2" customWidth="1"/>
    <col min="3" max="3" width="10.81640625" style="2" bestFit="1" customWidth="1"/>
    <col min="4" max="4" width="3.26953125" style="2" customWidth="1"/>
    <col min="5" max="5" width="5.1796875" style="2" customWidth="1"/>
    <col min="6" max="16384" width="9.17968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7" t="s">
        <v>197</v>
      </c>
      <c r="C3" s="87"/>
      <c r="D3" s="87"/>
      <c r="E3" s="1"/>
    </row>
    <row r="4" spans="1:5" ht="15" customHeight="1" x14ac:dyDescent="0.35">
      <c r="A4" s="1"/>
      <c r="B4" s="87"/>
      <c r="C4" s="87"/>
      <c r="D4" s="87"/>
      <c r="E4" s="1"/>
    </row>
    <row r="5" spans="1:5" x14ac:dyDescent="0.35">
      <c r="A5" s="1"/>
      <c r="B5" s="88" t="s">
        <v>23</v>
      </c>
      <c r="C5" s="88"/>
      <c r="D5" s="88"/>
      <c r="E5" s="1"/>
    </row>
    <row r="6" spans="1:5" x14ac:dyDescent="0.35">
      <c r="A6" s="1"/>
      <c r="B6" s="52"/>
      <c r="C6" s="52"/>
      <c r="D6" s="52"/>
      <c r="E6" s="1"/>
    </row>
    <row r="7" spans="1:5" x14ac:dyDescent="0.35">
      <c r="A7" s="1"/>
      <c r="B7" s="1"/>
      <c r="C7" s="1"/>
      <c r="D7" s="1"/>
      <c r="E7" s="1"/>
    </row>
    <row r="8" spans="1:5" x14ac:dyDescent="0.35">
      <c r="A8" s="1"/>
      <c r="B8" s="37" t="s">
        <v>14</v>
      </c>
      <c r="C8" s="31"/>
      <c r="D8" s="20"/>
      <c r="E8" s="1"/>
    </row>
    <row r="9" spans="1:5" ht="15" customHeight="1" x14ac:dyDescent="0.35">
      <c r="A9" s="1"/>
      <c r="B9" s="32" t="s">
        <v>152</v>
      </c>
      <c r="C9" s="7">
        <f>'Fane 2.2. Økonomisk ramme 2023'!C16</f>
        <v>25180255.492714547</v>
      </c>
      <c r="D9" s="8" t="s">
        <v>3</v>
      </c>
      <c r="E9" s="1"/>
    </row>
    <row r="10" spans="1:5" ht="15" customHeight="1" x14ac:dyDescent="0.35">
      <c r="A10" s="1"/>
      <c r="B10" s="32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35">
      <c r="A11" s="1"/>
      <c r="B11" s="32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35">
      <c r="A12" s="1"/>
      <c r="B12" s="29" t="s">
        <v>20</v>
      </c>
      <c r="C12" s="9">
        <f>SUM(C9:C11)*'Fane 14. Nøgletal'!C14</f>
        <v>83094.84312595801</v>
      </c>
      <c r="D12" s="8" t="s">
        <v>3</v>
      </c>
      <c r="E12" s="1"/>
    </row>
    <row r="13" spans="1:5" ht="15" customHeight="1" x14ac:dyDescent="0.35">
      <c r="A13" s="1"/>
      <c r="B13" s="29" t="s">
        <v>10</v>
      </c>
      <c r="C13" s="9">
        <f>-SUM(C9:C12)*'Fane 5. Individuelt eff. krav'!G12</f>
        <v>-505267.00671681011</v>
      </c>
      <c r="D13" s="8" t="s">
        <v>3</v>
      </c>
      <c r="E13" s="1"/>
    </row>
    <row r="14" spans="1:5" ht="15" customHeight="1" x14ac:dyDescent="0.35">
      <c r="A14" s="1"/>
      <c r="B14" s="29" t="s">
        <v>26</v>
      </c>
      <c r="C14" s="9">
        <f>-'Fane 4.1. Gen. krav - drift'!G55</f>
        <v>-269792.87487942696</v>
      </c>
      <c r="D14" s="8" t="s">
        <v>3</v>
      </c>
      <c r="E14" s="1"/>
    </row>
    <row r="15" spans="1:5" ht="15" customHeight="1" x14ac:dyDescent="0.35">
      <c r="A15" s="1"/>
      <c r="B15" s="29" t="s">
        <v>27</v>
      </c>
      <c r="C15" s="9">
        <f>-'Fane 4.2. Gen. krav - anlæg'!G55</f>
        <v>-199254.05467250769</v>
      </c>
      <c r="D15" s="8" t="s">
        <v>3</v>
      </c>
      <c r="E15" s="1"/>
    </row>
    <row r="16" spans="1:5" x14ac:dyDescent="0.35">
      <c r="A16" s="1"/>
      <c r="B16" s="30" t="s">
        <v>22</v>
      </c>
      <c r="C16" s="10">
        <f>SUM(C9:C15)</f>
        <v>24289036.399571758</v>
      </c>
      <c r="D16" s="11" t="s">
        <v>3</v>
      </c>
      <c r="E16" s="1"/>
    </row>
    <row r="17" spans="1:5" x14ac:dyDescent="0.35">
      <c r="A17" s="1"/>
      <c r="B17" s="37" t="s">
        <v>13</v>
      </c>
      <c r="C17" s="31"/>
      <c r="D17" s="20"/>
      <c r="E17" s="1"/>
    </row>
    <row r="18" spans="1:5" ht="15" customHeight="1" x14ac:dyDescent="0.35">
      <c r="A18" s="1"/>
      <c r="B18" s="35" t="s">
        <v>13</v>
      </c>
      <c r="C18" s="10">
        <f>'Fane 6. Ikke-påvirkelige omk.'!C16*(1+'Fane 14. Nøgletal'!C14)^2+'Fane 6. Ikke-påvirkelige omk.'!C22+'Fane 6. Ikke-påvirkelige omk.'!C30</f>
        <v>1591864.3935260295</v>
      </c>
      <c r="D18" s="11" t="s">
        <v>3</v>
      </c>
      <c r="E18" s="1"/>
    </row>
    <row r="19" spans="1:5" ht="15" customHeight="1" x14ac:dyDescent="0.35">
      <c r="A19" s="1"/>
      <c r="B19" s="37" t="s">
        <v>94</v>
      </c>
      <c r="C19" s="31"/>
      <c r="D19" s="20"/>
      <c r="E19" s="1"/>
    </row>
    <row r="20" spans="1:5" ht="15" customHeight="1" x14ac:dyDescent="0.35">
      <c r="A20" s="1"/>
      <c r="B20" s="60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35">
      <c r="A21" s="1"/>
      <c r="B21" s="37" t="s">
        <v>93</v>
      </c>
      <c r="C21" s="31"/>
      <c r="D21" s="20"/>
      <c r="E21" s="1"/>
    </row>
    <row r="22" spans="1:5" ht="15" customHeight="1" x14ac:dyDescent="0.35">
      <c r="A22" s="1"/>
      <c r="B22" s="54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35">
      <c r="A23" s="1"/>
      <c r="B23" s="54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3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35">
      <c r="A25" s="1"/>
      <c r="B25" s="34" t="s">
        <v>258</v>
      </c>
      <c r="C25" s="31"/>
      <c r="D25" s="20"/>
      <c r="E25" s="1"/>
    </row>
    <row r="26" spans="1:5" x14ac:dyDescent="0.3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35">
      <c r="A27" s="1"/>
      <c r="B27" s="37" t="s">
        <v>153</v>
      </c>
      <c r="C27" s="12">
        <f>SUM(C16,C18,C20,C24,C26)</f>
        <v>25880900.793097787</v>
      </c>
      <c r="D27" s="13" t="s">
        <v>3</v>
      </c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</sheetData>
  <sheetProtection algorithmName="SHA-512" hashValue="8gkBy46naG6s9KBolOSJ68TNALWDF32kdl3uG9Jo+jdEdH4RLYzKHYRyH30knjdix37BsC5oKWZcyXUXJVTW4A==" saltValue="mYw6s2KsL/r/zMLE8UYr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E51"/>
  <sheetViews>
    <sheetView showGridLines="0" view="pageLayout" zoomScaleNormal="100" workbookViewId="0"/>
  </sheetViews>
  <sheetFormatPr defaultColWidth="9.1796875" defaultRowHeight="14.5" x14ac:dyDescent="0.35"/>
  <cols>
    <col min="1" max="1" width="5.1796875" style="2" customWidth="1"/>
    <col min="2" max="2" width="62.54296875" style="2" customWidth="1"/>
    <col min="3" max="3" width="10.81640625" style="2" bestFit="1" customWidth="1"/>
    <col min="4" max="4" width="3.26953125" style="2" customWidth="1"/>
    <col min="5" max="5" width="5.1796875" style="2" customWidth="1"/>
    <col min="6" max="16384" width="9.17968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7" t="s">
        <v>198</v>
      </c>
      <c r="C3" s="87"/>
      <c r="D3" s="87"/>
      <c r="E3" s="1"/>
    </row>
    <row r="4" spans="1:5" ht="15" customHeight="1" x14ac:dyDescent="0.35">
      <c r="A4" s="1"/>
      <c r="B4" s="87"/>
      <c r="C4" s="87"/>
      <c r="D4" s="87"/>
      <c r="E4" s="1"/>
    </row>
    <row r="5" spans="1:5" x14ac:dyDescent="0.35">
      <c r="A5" s="1"/>
      <c r="B5" s="88" t="s">
        <v>23</v>
      </c>
      <c r="C5" s="88"/>
      <c r="D5" s="88"/>
      <c r="E5" s="1"/>
    </row>
    <row r="6" spans="1:5" x14ac:dyDescent="0.35">
      <c r="A6" s="1"/>
      <c r="B6" s="52"/>
      <c r="C6" s="52"/>
      <c r="D6" s="52"/>
      <c r="E6" s="1"/>
    </row>
    <row r="7" spans="1:5" x14ac:dyDescent="0.35">
      <c r="A7" s="1"/>
      <c r="B7" s="1"/>
      <c r="C7" s="1"/>
      <c r="D7" s="1"/>
      <c r="E7" s="1"/>
    </row>
    <row r="8" spans="1:5" x14ac:dyDescent="0.35">
      <c r="A8" s="1"/>
      <c r="B8" s="37" t="s">
        <v>14</v>
      </c>
      <c r="C8" s="31"/>
      <c r="D8" s="20"/>
      <c r="E8" s="1"/>
    </row>
    <row r="9" spans="1:5" ht="15" customHeight="1" x14ac:dyDescent="0.35">
      <c r="A9" s="1"/>
      <c r="B9" s="32" t="s">
        <v>199</v>
      </c>
      <c r="C9" s="7">
        <f>'Fane 2.3. Økonomisk ramme 2024'!C16</f>
        <v>24289036.399571758</v>
      </c>
      <c r="D9" s="8" t="s">
        <v>3</v>
      </c>
      <c r="E9" s="1"/>
    </row>
    <row r="10" spans="1:5" ht="15" customHeight="1" x14ac:dyDescent="0.35">
      <c r="A10" s="1"/>
      <c r="B10" s="32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35">
      <c r="A11" s="1"/>
      <c r="B11" s="32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35">
      <c r="A12" s="1"/>
      <c r="B12" s="29" t="s">
        <v>20</v>
      </c>
      <c r="C12" s="9">
        <f>SUM(C9:C11)*'Fane 14. Nøgletal'!C14</f>
        <v>80153.820118586795</v>
      </c>
      <c r="D12" s="8" t="s">
        <v>3</v>
      </c>
      <c r="E12" s="1"/>
    </row>
    <row r="13" spans="1:5" ht="15" customHeight="1" x14ac:dyDescent="0.35">
      <c r="A13" s="1"/>
      <c r="B13" s="29" t="s">
        <v>10</v>
      </c>
      <c r="C13" s="9">
        <f>-SUM(C9:C12)*'Fane 5. Individuelt eff. krav'!G12</f>
        <v>-487383.8043938069</v>
      </c>
      <c r="D13" s="8" t="s">
        <v>3</v>
      </c>
      <c r="E13" s="1"/>
    </row>
    <row r="14" spans="1:5" ht="15" customHeight="1" x14ac:dyDescent="0.35">
      <c r="A14" s="1"/>
      <c r="B14" s="29" t="s">
        <v>26</v>
      </c>
      <c r="C14" s="9">
        <f>-'Fane 4.1. Gen. krav - drift'!G61</f>
        <v>-265269.52753919852</v>
      </c>
      <c r="D14" s="8" t="s">
        <v>3</v>
      </c>
      <c r="E14" s="1"/>
    </row>
    <row r="15" spans="1:5" ht="15" customHeight="1" x14ac:dyDescent="0.35">
      <c r="A15" s="1"/>
      <c r="B15" s="29" t="s">
        <v>27</v>
      </c>
      <c r="C15" s="9">
        <f>-'Fane 4.2. Gen. krav - anlæg'!G61</f>
        <v>-196952.90147574365</v>
      </c>
      <c r="D15" s="8" t="s">
        <v>3</v>
      </c>
      <c r="E15" s="1"/>
    </row>
    <row r="16" spans="1:5" x14ac:dyDescent="0.35">
      <c r="A16" s="1"/>
      <c r="B16" s="30" t="s">
        <v>22</v>
      </c>
      <c r="C16" s="10">
        <f>SUM(C9:C15)</f>
        <v>23419583.9862816</v>
      </c>
      <c r="D16" s="11" t="s">
        <v>3</v>
      </c>
      <c r="E16" s="1"/>
    </row>
    <row r="17" spans="1:5" x14ac:dyDescent="0.35">
      <c r="A17" s="1"/>
      <c r="B17" s="37" t="s">
        <v>13</v>
      </c>
      <c r="C17" s="31"/>
      <c r="D17" s="20"/>
      <c r="E17" s="1"/>
    </row>
    <row r="18" spans="1:5" ht="15" customHeight="1" x14ac:dyDescent="0.35">
      <c r="A18" s="1"/>
      <c r="B18" s="35" t="s">
        <v>13</v>
      </c>
      <c r="C18" s="10">
        <f>'Fane 6. Ikke-påvirkelige omk.'!C16*(1+'Fane 14. Nøgletal'!C14)^3+'Fane 6. Ikke-påvirkelige omk.'!C23+'Fane 6. Ikke-påvirkelige omk.'!C31</f>
        <v>1597117.5460246655</v>
      </c>
      <c r="D18" s="11" t="s">
        <v>3</v>
      </c>
      <c r="E18" s="1"/>
    </row>
    <row r="19" spans="1:5" ht="15" customHeight="1" x14ac:dyDescent="0.35">
      <c r="A19" s="1"/>
      <c r="B19" s="37" t="s">
        <v>94</v>
      </c>
      <c r="C19" s="31"/>
      <c r="D19" s="20"/>
      <c r="E19" s="1"/>
    </row>
    <row r="20" spans="1:5" ht="15" customHeight="1" x14ac:dyDescent="0.35">
      <c r="A20" s="1"/>
      <c r="B20" s="60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35">
      <c r="A21" s="1"/>
      <c r="B21" s="37" t="s">
        <v>93</v>
      </c>
      <c r="C21" s="31"/>
      <c r="D21" s="20"/>
      <c r="E21" s="1"/>
    </row>
    <row r="22" spans="1:5" ht="15" customHeight="1" x14ac:dyDescent="0.35">
      <c r="A22" s="1"/>
      <c r="B22" s="54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35">
      <c r="A23" s="1"/>
      <c r="B23" s="54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3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35">
      <c r="A25" s="1"/>
      <c r="B25" s="34" t="s">
        <v>258</v>
      </c>
      <c r="C25" s="31"/>
      <c r="D25" s="20"/>
      <c r="E25" s="1"/>
    </row>
    <row r="26" spans="1:5" x14ac:dyDescent="0.3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35">
      <c r="A27" s="1"/>
      <c r="B27" s="37" t="s">
        <v>200</v>
      </c>
      <c r="C27" s="12">
        <f>SUM(C16,C18,C20,C24,C26)</f>
        <v>25016701.532306265</v>
      </c>
      <c r="D27" s="13" t="s">
        <v>3</v>
      </c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  <row r="50" spans="1:5" x14ac:dyDescent="0.35">
      <c r="A50" s="1"/>
      <c r="B50" s="1"/>
      <c r="C50" s="1"/>
      <c r="D50" s="1"/>
      <c r="E50" s="1"/>
    </row>
    <row r="51" spans="1:5" x14ac:dyDescent="0.35">
      <c r="A51" s="1"/>
      <c r="B51" s="1"/>
      <c r="C51" s="1"/>
      <c r="D51" s="1"/>
      <c r="E51" s="1"/>
    </row>
  </sheetData>
  <sheetProtection algorithmName="SHA-512" hashValue="4n8mVP1z/lFf9fJni9vWrLMaXxoiabATbLci2A9sUhTT3ygwhLLGVDSepsrhZIrTqLEc7vXq76D7B4FB88V3Kw==" saltValue="Rr6GkUPB9Z81IqofNR9o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50"/>
  <sheetViews>
    <sheetView showGridLines="0" view="pageLayout" zoomScaleNormal="100" workbookViewId="0"/>
  </sheetViews>
  <sheetFormatPr defaultColWidth="9.1796875" defaultRowHeight="14.5" x14ac:dyDescent="0.35"/>
  <cols>
    <col min="1" max="1" width="7.81640625" style="2" customWidth="1"/>
    <col min="2" max="2" width="12.26953125" style="2" customWidth="1"/>
    <col min="3" max="3" width="12" style="2" customWidth="1"/>
    <col min="4" max="4" width="31.7265625" style="2" customWidth="1"/>
    <col min="5" max="5" width="10.81640625" style="2" customWidth="1"/>
    <col min="6" max="6" width="3.54296875" style="2" bestFit="1" customWidth="1"/>
    <col min="7" max="7" width="7.81640625" style="2" customWidth="1"/>
    <col min="8" max="16384" width="9.17968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35">
      <c r="A4" s="1"/>
      <c r="B4" s="103"/>
      <c r="C4" s="103"/>
      <c r="D4" s="103"/>
      <c r="E4" s="103"/>
      <c r="F4" s="103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37" t="s">
        <v>278</v>
      </c>
      <c r="C8" s="31"/>
      <c r="D8" s="31"/>
      <c r="E8" s="31"/>
      <c r="F8" s="20"/>
      <c r="G8" s="1"/>
    </row>
    <row r="9" spans="1:7" ht="15" customHeight="1" x14ac:dyDescent="0.35">
      <c r="A9" s="1"/>
      <c r="B9" s="98" t="s">
        <v>25</v>
      </c>
      <c r="C9" s="99"/>
      <c r="D9" s="100"/>
      <c r="E9" s="7">
        <v>26576847.712863512</v>
      </c>
      <c r="F9" s="8" t="s">
        <v>3</v>
      </c>
      <c r="G9" s="1"/>
    </row>
    <row r="10" spans="1:7" ht="15" customHeight="1" x14ac:dyDescent="0.35">
      <c r="A10" s="1"/>
      <c r="B10" s="89" t="s">
        <v>43</v>
      </c>
      <c r="C10" s="90"/>
      <c r="D10" s="91"/>
      <c r="E10" s="7">
        <v>563689.11899999995</v>
      </c>
      <c r="F10" s="8" t="s">
        <v>3</v>
      </c>
      <c r="G10" s="1"/>
    </row>
    <row r="11" spans="1:7" ht="15" customHeight="1" x14ac:dyDescent="0.35">
      <c r="A11" s="1"/>
      <c r="B11" s="89" t="s">
        <v>44</v>
      </c>
      <c r="C11" s="90"/>
      <c r="D11" s="91"/>
      <c r="E11" s="9">
        <v>0</v>
      </c>
      <c r="F11" s="8" t="s">
        <v>3</v>
      </c>
      <c r="G11" s="1"/>
    </row>
    <row r="12" spans="1:7" ht="15" customHeight="1" x14ac:dyDescent="0.3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3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3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3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35">
      <c r="A16" s="1"/>
      <c r="B16" s="98" t="s">
        <v>20</v>
      </c>
      <c r="C16" s="99"/>
      <c r="D16" s="100"/>
      <c r="E16" s="9">
        <v>530440.90719521116</v>
      </c>
      <c r="F16" s="8" t="s">
        <v>3</v>
      </c>
      <c r="G16" s="1"/>
    </row>
    <row r="17" spans="1:7" ht="15" customHeight="1" x14ac:dyDescent="0.35">
      <c r="A17" s="1"/>
      <c r="B17" s="98" t="s">
        <v>10</v>
      </c>
      <c r="C17" s="99"/>
      <c r="D17" s="100"/>
      <c r="E17" s="9">
        <v>0</v>
      </c>
      <c r="F17" s="8" t="s">
        <v>3</v>
      </c>
      <c r="G17" s="1"/>
    </row>
    <row r="18" spans="1:7" ht="15" customHeight="1" x14ac:dyDescent="0.35">
      <c r="A18" s="1"/>
      <c r="B18" s="98" t="s">
        <v>26</v>
      </c>
      <c r="C18" s="99"/>
      <c r="D18" s="100"/>
      <c r="E18" s="9">
        <f>-'Fane 4.1. Gen. krav - drift'!G34</f>
        <v>-282946.6323096875</v>
      </c>
      <c r="F18" s="8" t="s">
        <v>3</v>
      </c>
      <c r="G18" s="1"/>
    </row>
    <row r="19" spans="1:7" ht="15" customHeight="1" x14ac:dyDescent="0.35">
      <c r="A19" s="1"/>
      <c r="B19" s="98" t="s">
        <v>27</v>
      </c>
      <c r="C19" s="99"/>
      <c r="D19" s="100"/>
      <c r="E19" s="9">
        <f>-'Fane 4.2. Gen. krav - anlæg'!G31</f>
        <v>-401453.31012177817</v>
      </c>
      <c r="F19" s="8" t="s">
        <v>3</v>
      </c>
      <c r="G19" s="1"/>
    </row>
    <row r="20" spans="1:7" ht="15" customHeight="1" x14ac:dyDescent="0.35">
      <c r="A20" s="1"/>
      <c r="B20" s="60" t="s">
        <v>22</v>
      </c>
      <c r="C20" s="61"/>
      <c r="D20" s="67"/>
      <c r="E20" s="10">
        <f>SUM(E9:E19)</f>
        <v>26986577.796627257</v>
      </c>
      <c r="F20" s="11" t="s">
        <v>3</v>
      </c>
      <c r="G20" s="1"/>
    </row>
    <row r="21" spans="1:7" ht="15" customHeight="1" x14ac:dyDescent="0.35">
      <c r="A21" s="1"/>
      <c r="B21" s="37" t="s">
        <v>13</v>
      </c>
      <c r="C21" s="31"/>
      <c r="D21" s="31"/>
      <c r="E21" s="31"/>
      <c r="F21" s="20"/>
      <c r="G21" s="1"/>
    </row>
    <row r="22" spans="1:7" ht="15" customHeight="1" x14ac:dyDescent="0.35">
      <c r="A22" s="1"/>
      <c r="B22" s="92" t="s">
        <v>13</v>
      </c>
      <c r="C22" s="93"/>
      <c r="D22" s="94"/>
      <c r="E22" s="10">
        <v>1025356.18448592</v>
      </c>
      <c r="F22" s="11" t="s">
        <v>3</v>
      </c>
      <c r="G22" s="1"/>
    </row>
    <row r="23" spans="1:7" ht="15" customHeight="1" x14ac:dyDescent="0.35">
      <c r="A23" s="1"/>
      <c r="B23" s="95" t="s">
        <v>94</v>
      </c>
      <c r="C23" s="96"/>
      <c r="D23" s="97"/>
      <c r="E23" s="31"/>
      <c r="F23" s="31"/>
      <c r="G23" s="1"/>
    </row>
    <row r="24" spans="1:7" ht="15" customHeight="1" x14ac:dyDescent="0.35">
      <c r="A24" s="1"/>
      <c r="B24" s="60" t="s">
        <v>94</v>
      </c>
      <c r="C24" s="42"/>
      <c r="D24" s="43"/>
      <c r="E24" s="10">
        <v>0</v>
      </c>
      <c r="F24" s="11" t="s">
        <v>3</v>
      </c>
      <c r="G24" s="1"/>
    </row>
    <row r="25" spans="1:7" x14ac:dyDescent="0.35">
      <c r="A25" s="1"/>
      <c r="B25" s="37" t="s">
        <v>93</v>
      </c>
      <c r="C25" s="31"/>
      <c r="D25" s="31"/>
      <c r="E25" s="31"/>
      <c r="F25" s="20"/>
      <c r="G25" s="1"/>
    </row>
    <row r="26" spans="1:7" ht="15" customHeight="1" x14ac:dyDescent="0.3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3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35">
      <c r="A28" s="1"/>
      <c r="B28" s="101" t="s">
        <v>95</v>
      </c>
      <c r="C28" s="102"/>
      <c r="D28" s="102"/>
      <c r="E28" s="44">
        <v>0</v>
      </c>
      <c r="F28" s="11" t="s">
        <v>3</v>
      </c>
      <c r="G28" s="1"/>
    </row>
    <row r="29" spans="1:7" ht="15" customHeight="1" x14ac:dyDescent="0.35">
      <c r="A29" s="1"/>
      <c r="B29" s="37" t="s">
        <v>187</v>
      </c>
      <c r="C29" s="37"/>
      <c r="D29" s="37"/>
      <c r="E29" s="31"/>
      <c r="F29" s="31"/>
      <c r="G29" s="1"/>
    </row>
    <row r="30" spans="1:7" ht="15" customHeight="1" x14ac:dyDescent="0.35">
      <c r="A30" s="1"/>
      <c r="B30" s="92" t="s">
        <v>185</v>
      </c>
      <c r="C30" s="93"/>
      <c r="D30" s="93"/>
      <c r="E30" s="44">
        <v>0</v>
      </c>
      <c r="F30" s="11" t="s">
        <v>3</v>
      </c>
      <c r="G30" s="1"/>
    </row>
    <row r="31" spans="1:7" x14ac:dyDescent="0.35">
      <c r="A31" s="1"/>
      <c r="B31" s="37" t="s">
        <v>148</v>
      </c>
      <c r="C31" s="31"/>
      <c r="D31" s="31"/>
      <c r="E31" s="31"/>
      <c r="F31" s="31"/>
      <c r="G31" s="1"/>
    </row>
    <row r="32" spans="1:7" ht="15.4" customHeight="1" x14ac:dyDescent="0.3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35">
      <c r="A33" s="1"/>
      <c r="B33" s="37" t="s">
        <v>251</v>
      </c>
      <c r="C33" s="31"/>
      <c r="D33" s="20"/>
      <c r="E33" s="12">
        <f>SUM(E32,E30,E28,E24,E22,E20)</f>
        <v>28011933.981113177</v>
      </c>
      <c r="F33" s="13" t="s">
        <v>3</v>
      </c>
      <c r="G33" s="1"/>
    </row>
    <row r="34" spans="1:7" ht="27" customHeight="1" x14ac:dyDescent="0.35">
      <c r="A34" s="1"/>
      <c r="B34" s="98" t="s">
        <v>252</v>
      </c>
      <c r="C34" s="99"/>
      <c r="D34" s="99"/>
      <c r="E34" s="99"/>
      <c r="F34" s="100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</sheetData>
  <sheetProtection algorithmName="SHA-512" hashValue="oP15pxzUB2VSdc2oZtQwTpss762ys8PWe+nqy9MSC44OgnDkCKxFmXkJackhd1DrTqdTmkxhxvP0oBGTevioXw==" saltValue="kEkJFPnx9CwCFHB/6wIeE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I64"/>
  <sheetViews>
    <sheetView showGridLines="0" view="pageLayout" zoomScaleNormal="100" workbookViewId="0"/>
  </sheetViews>
  <sheetFormatPr defaultColWidth="9.1796875" defaultRowHeight="14.5" x14ac:dyDescent="0.35"/>
  <cols>
    <col min="1" max="1" width="6.1796875" style="2" customWidth="1"/>
    <col min="2" max="5" width="9.1796875" style="2"/>
    <col min="6" max="6" width="23.26953125" style="2" customWidth="1"/>
    <col min="7" max="7" width="10.26953125" style="2" customWidth="1"/>
    <col min="8" max="8" width="4.26953125" style="2" customWidth="1"/>
    <col min="9" max="9" width="6.7265625" style="2" customWidth="1"/>
    <col min="10" max="16384" width="9.1796875" style="2"/>
  </cols>
  <sheetData>
    <row r="1" spans="1:9" ht="15" customHeight="1" x14ac:dyDescent="0.35">
      <c r="A1" s="1"/>
      <c r="B1" s="41"/>
      <c r="C1" s="41"/>
      <c r="D1" s="41"/>
      <c r="E1" s="41"/>
      <c r="F1" s="41"/>
      <c r="G1" s="41"/>
      <c r="H1" s="41"/>
      <c r="I1" s="1"/>
    </row>
    <row r="2" spans="1:9" ht="15" customHeight="1" x14ac:dyDescent="0.3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3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35">
      <c r="A4" s="1"/>
      <c r="B4" s="41"/>
      <c r="C4" s="41"/>
      <c r="D4" s="41"/>
      <c r="E4" s="41"/>
      <c r="F4" s="41"/>
      <c r="G4" s="41"/>
      <c r="H4" s="41"/>
      <c r="I4" s="1"/>
    </row>
    <row r="5" spans="1:9" x14ac:dyDescent="0.3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35">
      <c r="A6" s="1"/>
      <c r="B6" s="104" t="s">
        <v>45</v>
      </c>
      <c r="C6" s="105"/>
      <c r="D6" s="105"/>
      <c r="E6" s="105"/>
      <c r="F6" s="106"/>
      <c r="G6" s="51">
        <v>12324745.050346678</v>
      </c>
      <c r="H6" s="14" t="s">
        <v>3</v>
      </c>
      <c r="I6" s="1"/>
    </row>
    <row r="7" spans="1:9" x14ac:dyDescent="0.35">
      <c r="A7" s="1"/>
      <c r="B7" s="98" t="s">
        <v>145</v>
      </c>
      <c r="C7" s="99"/>
      <c r="D7" s="99"/>
      <c r="E7" s="99"/>
      <c r="F7" s="100"/>
      <c r="G7" s="51">
        <v>0</v>
      </c>
      <c r="H7" s="14" t="s">
        <v>3</v>
      </c>
      <c r="I7" s="1"/>
    </row>
    <row r="8" spans="1:9" x14ac:dyDescent="0.35">
      <c r="A8" s="1"/>
      <c r="B8" s="104" t="s">
        <v>46</v>
      </c>
      <c r="C8" s="105"/>
      <c r="D8" s="105"/>
      <c r="E8" s="105"/>
      <c r="F8" s="106"/>
      <c r="G8" s="51">
        <f>SUM(G6:G7)*'Fane 14. Nøgletal'!C29</f>
        <v>246494.90100693356</v>
      </c>
      <c r="H8" s="14" t="s">
        <v>3</v>
      </c>
      <c r="I8" s="1"/>
    </row>
    <row r="9" spans="1:9" x14ac:dyDescent="0.35">
      <c r="A9" s="1"/>
      <c r="B9" s="37"/>
      <c r="C9" s="31"/>
      <c r="D9" s="31"/>
      <c r="E9" s="31"/>
      <c r="F9" s="31"/>
      <c r="G9" s="31"/>
      <c r="H9" s="20"/>
      <c r="I9" s="1"/>
    </row>
    <row r="10" spans="1:9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35">
      <c r="A12" s="1"/>
      <c r="B12" s="104" t="s">
        <v>47</v>
      </c>
      <c r="C12" s="105"/>
      <c r="D12" s="105"/>
      <c r="E12" s="105"/>
      <c r="F12" s="106"/>
      <c r="G12" s="51">
        <f>(G6-G8)*(1+'Fane 14. Nøgletal'!C10)</f>
        <v>12289619.526953191</v>
      </c>
      <c r="H12" s="14" t="s">
        <v>3</v>
      </c>
      <c r="I12" s="1"/>
    </row>
    <row r="13" spans="1:9" ht="15" customHeight="1" x14ac:dyDescent="0.35">
      <c r="A13" s="1"/>
      <c r="B13" s="104" t="s">
        <v>146</v>
      </c>
      <c r="C13" s="105"/>
      <c r="D13" s="105"/>
      <c r="E13" s="105"/>
      <c r="F13" s="106"/>
      <c r="G13" s="51">
        <v>0</v>
      </c>
      <c r="H13" s="14" t="s">
        <v>3</v>
      </c>
      <c r="I13" s="1"/>
    </row>
    <row r="14" spans="1:9" x14ac:dyDescent="0.35">
      <c r="A14" s="1"/>
      <c r="B14" s="98" t="s">
        <v>143</v>
      </c>
      <c r="C14" s="99"/>
      <c r="D14" s="99"/>
      <c r="E14" s="99"/>
      <c r="F14" s="100"/>
      <c r="G14" s="51">
        <v>0</v>
      </c>
      <c r="H14" s="14" t="s">
        <v>3</v>
      </c>
      <c r="I14" s="1"/>
    </row>
    <row r="15" spans="1:9" x14ac:dyDescent="0.35">
      <c r="A15" s="1"/>
      <c r="B15" s="107" t="s">
        <v>48</v>
      </c>
      <c r="C15" s="108"/>
      <c r="D15" s="108"/>
      <c r="E15" s="108"/>
      <c r="F15" s="109"/>
      <c r="G15" s="51">
        <v>0</v>
      </c>
      <c r="H15" s="14" t="s">
        <v>3</v>
      </c>
      <c r="I15" s="1"/>
    </row>
    <row r="16" spans="1:9" x14ac:dyDescent="0.35">
      <c r="A16" s="1"/>
      <c r="B16" s="104" t="s">
        <v>49</v>
      </c>
      <c r="C16" s="105"/>
      <c r="D16" s="105"/>
      <c r="E16" s="105"/>
      <c r="F16" s="106"/>
      <c r="G16" s="51">
        <f>SUM(G12:G15)*'Fane 14. Nøgletal'!C29</f>
        <v>245792.39053906381</v>
      </c>
      <c r="H16" s="14" t="s">
        <v>3</v>
      </c>
      <c r="I16" s="1"/>
    </row>
    <row r="17" spans="1:9" x14ac:dyDescent="0.35">
      <c r="A17" s="1"/>
      <c r="B17" s="37"/>
      <c r="C17" s="31"/>
      <c r="D17" s="31"/>
      <c r="E17" s="31"/>
      <c r="F17" s="31"/>
      <c r="G17" s="31"/>
      <c r="H17" s="20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35">
      <c r="A20" s="1"/>
      <c r="B20" s="104" t="s">
        <v>50</v>
      </c>
      <c r="C20" s="105"/>
      <c r="D20" s="105"/>
      <c r="E20" s="105"/>
      <c r="F20" s="106"/>
      <c r="G20" s="51">
        <f>(SUM(G12:G13,G15)-(G16))*(1+'Fane 14. Nøgletal'!C10)</f>
        <v>12254594.111301376</v>
      </c>
      <c r="H20" s="14" t="s">
        <v>3</v>
      </c>
      <c r="I20" s="1"/>
    </row>
    <row r="21" spans="1:9" x14ac:dyDescent="0.35">
      <c r="A21" s="1"/>
      <c r="B21" s="107" t="s">
        <v>51</v>
      </c>
      <c r="C21" s="108"/>
      <c r="D21" s="108"/>
      <c r="E21" s="108"/>
      <c r="F21" s="109"/>
      <c r="G21" s="51">
        <v>0</v>
      </c>
      <c r="H21" s="14" t="s">
        <v>3</v>
      </c>
      <c r="I21" s="1"/>
    </row>
    <row r="22" spans="1:9" x14ac:dyDescent="0.35">
      <c r="A22" s="1"/>
      <c r="B22" s="104" t="s">
        <v>52</v>
      </c>
      <c r="C22" s="105"/>
      <c r="D22" s="105"/>
      <c r="E22" s="105"/>
      <c r="F22" s="106"/>
      <c r="G22" s="51">
        <f>SUM(G20:G21)*'Fane 14. Nøgletal'!C29</f>
        <v>245091.88222602752</v>
      </c>
      <c r="H22" s="14" t="s">
        <v>3</v>
      </c>
      <c r="I22" s="1"/>
    </row>
    <row r="23" spans="1:9" x14ac:dyDescent="0.35">
      <c r="A23" s="1"/>
      <c r="B23" s="37"/>
      <c r="C23" s="31"/>
      <c r="D23" s="31"/>
      <c r="E23" s="31"/>
      <c r="F23" s="31"/>
      <c r="G23" s="31"/>
      <c r="H23" s="20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35">
      <c r="A26" s="1"/>
      <c r="B26" s="104" t="s">
        <v>53</v>
      </c>
      <c r="C26" s="105"/>
      <c r="D26" s="105"/>
      <c r="E26" s="105"/>
      <c r="F26" s="106"/>
      <c r="G26" s="51">
        <f>(G20+G21-G22)*(1+'Fane 14. Nøgletal'!C12)</f>
        <v>12246089.422988134</v>
      </c>
      <c r="H26" s="14" t="s">
        <v>3</v>
      </c>
      <c r="I26" s="1"/>
    </row>
    <row r="27" spans="1:9" x14ac:dyDescent="0.35">
      <c r="A27" s="1"/>
      <c r="B27" s="107" t="s">
        <v>54</v>
      </c>
      <c r="C27" s="108"/>
      <c r="D27" s="108"/>
      <c r="E27" s="108"/>
      <c r="F27" s="109"/>
      <c r="G27" s="51">
        <v>1340104.8850942501</v>
      </c>
      <c r="H27" s="14" t="s">
        <v>3</v>
      </c>
      <c r="I27" s="1"/>
    </row>
    <row r="28" spans="1:9" x14ac:dyDescent="0.35">
      <c r="A28" s="1"/>
      <c r="B28" s="104" t="s">
        <v>55</v>
      </c>
      <c r="C28" s="105"/>
      <c r="D28" s="105"/>
      <c r="E28" s="105"/>
      <c r="F28" s="106"/>
      <c r="G28" s="51">
        <f>(G26+G27)*'Fane 14. Nøgletal'!C29</f>
        <v>271723.88616164768</v>
      </c>
      <c r="H28" s="14" t="s">
        <v>3</v>
      </c>
      <c r="I28" s="1"/>
    </row>
    <row r="29" spans="1:9" x14ac:dyDescent="0.35">
      <c r="A29" s="1"/>
      <c r="B29" s="37"/>
      <c r="C29" s="31"/>
      <c r="D29" s="31"/>
      <c r="E29" s="31"/>
      <c r="F29" s="31"/>
      <c r="G29" s="31"/>
      <c r="H29" s="20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35">
      <c r="A32" s="1"/>
      <c r="B32" s="104" t="s">
        <v>63</v>
      </c>
      <c r="C32" s="105"/>
      <c r="D32" s="105"/>
      <c r="E32" s="105"/>
      <c r="F32" s="106"/>
      <c r="G32" s="51">
        <f>(G26+G27-G28)*(1+'Fane 14. Nøgletal'!C12)</f>
        <v>13576765.489232574</v>
      </c>
      <c r="H32" s="14" t="s">
        <v>3</v>
      </c>
      <c r="I32" s="1"/>
    </row>
    <row r="33" spans="1:9" x14ac:dyDescent="0.35">
      <c r="A33" s="1"/>
      <c r="B33" s="104" t="s">
        <v>171</v>
      </c>
      <c r="C33" s="105"/>
      <c r="D33" s="105"/>
      <c r="E33" s="105"/>
      <c r="F33" s="106"/>
      <c r="G33" s="51">
        <v>570566.12625179999</v>
      </c>
      <c r="H33" s="14" t="s">
        <v>3</v>
      </c>
      <c r="I33" s="1"/>
    </row>
    <row r="34" spans="1:9" x14ac:dyDescent="0.35">
      <c r="A34" s="1"/>
      <c r="B34" s="104" t="s">
        <v>64</v>
      </c>
      <c r="C34" s="105"/>
      <c r="D34" s="105"/>
      <c r="E34" s="105"/>
      <c r="F34" s="106"/>
      <c r="G34" s="51">
        <f>(G32+G33)*'Fane 14. Nøgletal'!C29</f>
        <v>282946.6323096875</v>
      </c>
      <c r="H34" s="14" t="s">
        <v>3</v>
      </c>
      <c r="I34" s="1"/>
    </row>
    <row r="35" spans="1:9" x14ac:dyDescent="0.35">
      <c r="A35" s="1"/>
      <c r="B35" s="37"/>
      <c r="C35" s="31"/>
      <c r="D35" s="31"/>
      <c r="E35" s="31"/>
      <c r="F35" s="31"/>
      <c r="G35" s="31"/>
      <c r="H35" s="20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35">
      <c r="A38" s="1"/>
      <c r="B38" s="104" t="s">
        <v>84</v>
      </c>
      <c r="C38" s="105"/>
      <c r="D38" s="105"/>
      <c r="E38" s="105"/>
      <c r="F38" s="106"/>
      <c r="G38" s="51">
        <f>(G32+G33-G34)*(1+'Fane 14. Nøgletal'!C14)</f>
        <v>13910137.453619163</v>
      </c>
      <c r="H38" s="14" t="s">
        <v>3</v>
      </c>
      <c r="I38" s="1"/>
    </row>
    <row r="39" spans="1:9" x14ac:dyDescent="0.35">
      <c r="A39" s="1"/>
      <c r="B39" s="104" t="s">
        <v>236</v>
      </c>
      <c r="C39" s="105"/>
      <c r="D39" s="105"/>
      <c r="E39" s="105"/>
      <c r="F39" s="106"/>
      <c r="G39" s="51">
        <f>SUM('Fane 2.1. Økonomisk ramme 2022'!C10,'Fane 2.1. Økonomisk ramme 2022'!C12,'Fane 2.1. Økonomisk ramme 2022'!C14)*(1+'Fane 14. Nøgletal'!C14)</f>
        <v>43476.53094999001</v>
      </c>
      <c r="H39" s="14" t="s">
        <v>3</v>
      </c>
      <c r="I39" s="1"/>
    </row>
    <row r="40" spans="1:9" x14ac:dyDescent="0.35">
      <c r="A40" s="1"/>
      <c r="B40" s="104" t="s">
        <v>234</v>
      </c>
      <c r="C40" s="105"/>
      <c r="D40" s="105"/>
      <c r="E40" s="105"/>
      <c r="F40" s="106"/>
      <c r="G40" s="51">
        <f>(G38+G39)*'Fane 14. Nøgletal'!C29</f>
        <v>279072.27969138307</v>
      </c>
      <c r="H40" s="14" t="s">
        <v>3</v>
      </c>
      <c r="I40" s="1"/>
    </row>
    <row r="41" spans="1:9" x14ac:dyDescent="0.35">
      <c r="A41" s="1"/>
      <c r="B41" s="37"/>
      <c r="C41" s="31"/>
      <c r="D41" s="31"/>
      <c r="E41" s="31"/>
      <c r="F41" s="31"/>
      <c r="G41" s="31"/>
      <c r="H41" s="20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35">
      <c r="A44" s="1"/>
      <c r="B44" s="104" t="s">
        <v>83</v>
      </c>
      <c r="C44" s="105"/>
      <c r="D44" s="105"/>
      <c r="E44" s="105"/>
      <c r="F44" s="106"/>
      <c r="G44" s="51">
        <f>(G38+G39-G40)*(1+'Fane 14. Nøgletal'!C14)</f>
        <v>13719667.692503868</v>
      </c>
      <c r="H44" s="14" t="s">
        <v>3</v>
      </c>
      <c r="I44" s="1"/>
    </row>
    <row r="45" spans="1:9" x14ac:dyDescent="0.35">
      <c r="A45" s="1"/>
      <c r="B45" s="110" t="s">
        <v>237</v>
      </c>
      <c r="C45" s="111"/>
      <c r="D45" s="111"/>
      <c r="E45" s="111"/>
      <c r="F45" s="112"/>
      <c r="G45" s="51">
        <f>G39*(1+'Fane 14. Nøgletal'!C14)</f>
        <v>43620.003502124979</v>
      </c>
      <c r="H45" s="14" t="s">
        <v>3</v>
      </c>
      <c r="I45" s="1"/>
    </row>
    <row r="46" spans="1:9" x14ac:dyDescent="0.35">
      <c r="A46" s="1"/>
      <c r="B46" s="104" t="s">
        <v>97</v>
      </c>
      <c r="C46" s="105"/>
      <c r="D46" s="105"/>
      <c r="E46" s="105"/>
      <c r="F46" s="106"/>
      <c r="G46" s="51">
        <f>-'Fane 13. Bortfald'!C18*(1+'Fane 14. Nøgletal'!C14)</f>
        <v>0</v>
      </c>
      <c r="H46" s="14" t="s">
        <v>3</v>
      </c>
      <c r="I46" s="1"/>
    </row>
    <row r="47" spans="1:9" x14ac:dyDescent="0.35">
      <c r="A47" s="1"/>
      <c r="B47" s="104" t="s">
        <v>235</v>
      </c>
      <c r="C47" s="105"/>
      <c r="D47" s="105"/>
      <c r="E47" s="105"/>
      <c r="F47" s="106"/>
      <c r="G47" s="51">
        <f>(G44+G46)*'Fane 14. Nøgletal'!C29</f>
        <v>274393.35385007737</v>
      </c>
      <c r="H47" s="14" t="s">
        <v>3</v>
      </c>
      <c r="I47" s="1"/>
    </row>
    <row r="48" spans="1:9" x14ac:dyDescent="0.35">
      <c r="A48" s="1"/>
      <c r="B48" s="37"/>
      <c r="C48" s="31"/>
      <c r="D48" s="31"/>
      <c r="E48" s="31"/>
      <c r="F48" s="31"/>
      <c r="G48" s="31"/>
      <c r="H48" s="20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35">
      <c r="A53" s="1"/>
      <c r="B53" s="104" t="s">
        <v>173</v>
      </c>
      <c r="C53" s="105"/>
      <c r="D53" s="105"/>
      <c r="E53" s="105"/>
      <c r="F53" s="106"/>
      <c r="G53" s="51">
        <f>(G44+G46-G47)*(1+'Fane 14. Nøgletal'!C14)</f>
        <v>13489643.743971348</v>
      </c>
      <c r="H53" s="14" t="s">
        <v>3</v>
      </c>
      <c r="I53" s="1"/>
    </row>
    <row r="54" spans="1:9" x14ac:dyDescent="0.35">
      <c r="A54" s="1"/>
      <c r="B54" s="104" t="s">
        <v>174</v>
      </c>
      <c r="C54" s="105"/>
      <c r="D54" s="105"/>
      <c r="E54" s="105"/>
      <c r="F54" s="106"/>
      <c r="G54" s="51">
        <f>-'Fane 13. Bortfald'!C24*(1+'Fane 14. Nøgletal'!C14)</f>
        <v>0</v>
      </c>
      <c r="H54" s="14" t="s">
        <v>3</v>
      </c>
      <c r="I54" s="1"/>
    </row>
    <row r="55" spans="1:9" x14ac:dyDescent="0.35">
      <c r="A55" s="1"/>
      <c r="B55" s="104" t="s">
        <v>175</v>
      </c>
      <c r="C55" s="105"/>
      <c r="D55" s="105"/>
      <c r="E55" s="105"/>
      <c r="F55" s="106"/>
      <c r="G55" s="51">
        <f>(G53+G54)*'Fane 14. Nøgletal'!C29</f>
        <v>269792.87487942696</v>
      </c>
      <c r="H55" s="14" t="s">
        <v>3</v>
      </c>
      <c r="I55" s="1"/>
    </row>
    <row r="56" spans="1:9" x14ac:dyDescent="0.35">
      <c r="A56" s="1"/>
      <c r="B56" s="37"/>
      <c r="C56" s="31"/>
      <c r="D56" s="31"/>
      <c r="E56" s="31"/>
      <c r="F56" s="31"/>
      <c r="G56" s="31"/>
      <c r="H56" s="20"/>
      <c r="I56" s="1"/>
    </row>
    <row r="57" spans="1:9" x14ac:dyDescent="0.3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5">
      <c r="A58" s="1"/>
      <c r="B58" s="95" t="s">
        <v>201</v>
      </c>
      <c r="C58" s="96"/>
      <c r="D58" s="96"/>
      <c r="E58" s="96"/>
      <c r="F58" s="96"/>
      <c r="G58" s="96"/>
      <c r="H58" s="97"/>
      <c r="I58" s="1"/>
    </row>
    <row r="59" spans="1:9" x14ac:dyDescent="0.35">
      <c r="A59" s="1"/>
      <c r="B59" s="62" t="s">
        <v>202</v>
      </c>
      <c r="C59" s="63"/>
      <c r="D59" s="63"/>
      <c r="E59" s="63"/>
      <c r="F59" s="64"/>
      <c r="G59" s="51">
        <f>(G53+G54-G55)*(1+'Fane 14. Nøgletal'!C14)</f>
        <v>13263476.376959926</v>
      </c>
      <c r="H59" s="14" t="s">
        <v>3</v>
      </c>
      <c r="I59" s="1"/>
    </row>
    <row r="60" spans="1:9" x14ac:dyDescent="0.35">
      <c r="A60" s="1"/>
      <c r="B60" s="62" t="s">
        <v>203</v>
      </c>
      <c r="C60" s="63"/>
      <c r="D60" s="63"/>
      <c r="E60" s="63"/>
      <c r="F60" s="64"/>
      <c r="G60" s="51">
        <f>-'Fane 13. Bortfald'!C30*(1+'Fane 14. Nøgletal'!C14)</f>
        <v>0</v>
      </c>
      <c r="H60" s="14" t="s">
        <v>3</v>
      </c>
      <c r="I60" s="1"/>
    </row>
    <row r="61" spans="1:9" x14ac:dyDescent="0.35">
      <c r="A61" s="1"/>
      <c r="B61" s="62" t="s">
        <v>204</v>
      </c>
      <c r="C61" s="63"/>
      <c r="D61" s="63"/>
      <c r="E61" s="63"/>
      <c r="F61" s="64"/>
      <c r="G61" s="51">
        <f>(G59+G60)*'Fane 14. Nøgletal'!C29</f>
        <v>265269.52753919852</v>
      </c>
      <c r="H61" s="14" t="s">
        <v>3</v>
      </c>
      <c r="I61" s="1"/>
    </row>
    <row r="62" spans="1:9" x14ac:dyDescent="0.35">
      <c r="A62" s="1"/>
      <c r="B62" s="37"/>
      <c r="C62" s="31"/>
      <c r="D62" s="31"/>
      <c r="E62" s="31"/>
      <c r="F62" s="31"/>
      <c r="G62" s="31"/>
      <c r="H62" s="20"/>
      <c r="I62" s="1"/>
    </row>
    <row r="63" spans="1:9" x14ac:dyDescent="0.3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B+F1GNAR0Q2zUDYJUTv2KFLOg0vtPvYs8K9p7roGD8zHZw/aKF8uJgGSsgQqifPwY9PNsOjirEBCTtSxdo88Sw==" saltValue="xmuzzcrPDF83gK6sFF8Q9Q==" spinCount="100000" sheet="1" objects="1" scenarios="1"/>
  <mergeCells count="37"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26:F26"/>
    <mergeCell ref="B27:F27"/>
    <mergeCell ref="B28:F28"/>
    <mergeCell ref="B38:F38"/>
    <mergeCell ref="B52:H52"/>
    <mergeCell ref="B15:F15"/>
    <mergeCell ref="B16:F16"/>
    <mergeCell ref="B20:F20"/>
    <mergeCell ref="B21:F21"/>
    <mergeCell ref="B22:F22"/>
    <mergeCell ref="B58:H58"/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/>
  <dimension ref="A1:I63"/>
  <sheetViews>
    <sheetView showGridLines="0" view="pageLayout" zoomScaleNormal="100" workbookViewId="0"/>
  </sheetViews>
  <sheetFormatPr defaultColWidth="9.1796875" defaultRowHeight="14.5" x14ac:dyDescent="0.35"/>
  <cols>
    <col min="1" max="1" width="6.1796875" style="2" customWidth="1"/>
    <col min="2" max="5" width="9.1796875" style="2"/>
    <col min="6" max="6" width="23.26953125" style="2" customWidth="1"/>
    <col min="7" max="7" width="10.26953125" style="2" customWidth="1"/>
    <col min="8" max="8" width="4.26953125" style="2" customWidth="1"/>
    <col min="9" max="9" width="6.7265625" style="2" customWidth="1"/>
    <col min="10" max="16384" width="9.1796875" style="2"/>
  </cols>
  <sheetData>
    <row r="1" spans="1:9" ht="14.25" customHeight="1" x14ac:dyDescent="0.3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3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3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3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35">
      <c r="A5" s="1"/>
      <c r="B5" s="104" t="s">
        <v>65</v>
      </c>
      <c r="C5" s="105"/>
      <c r="D5" s="105"/>
      <c r="E5" s="105"/>
      <c r="F5" s="106"/>
      <c r="G5" s="51">
        <v>10561194.643293073</v>
      </c>
      <c r="H5" s="14" t="s">
        <v>3</v>
      </c>
      <c r="I5" s="1"/>
    </row>
    <row r="6" spans="1:9" x14ac:dyDescent="0.35">
      <c r="A6" s="1"/>
      <c r="B6" s="104" t="s">
        <v>61</v>
      </c>
      <c r="C6" s="105"/>
      <c r="D6" s="105"/>
      <c r="E6" s="105"/>
      <c r="F6" s="106"/>
      <c r="G6" s="51">
        <f>G5*'Fane 14. Nøgletal'!C19</f>
        <v>96106.87125396698</v>
      </c>
      <c r="H6" s="14" t="s">
        <v>3</v>
      </c>
      <c r="I6" s="1"/>
    </row>
    <row r="7" spans="1:9" x14ac:dyDescent="0.35">
      <c r="A7" s="1"/>
      <c r="B7" s="37"/>
      <c r="C7" s="31"/>
      <c r="D7" s="31"/>
      <c r="E7" s="31"/>
      <c r="F7" s="31"/>
      <c r="G7" s="31"/>
      <c r="H7" s="20"/>
      <c r="I7" s="1"/>
    </row>
    <row r="8" spans="1:9" x14ac:dyDescent="0.35">
      <c r="A8" s="1"/>
      <c r="B8" s="1"/>
      <c r="C8" s="1"/>
      <c r="D8" s="1"/>
      <c r="E8" s="1"/>
      <c r="F8" s="1"/>
      <c r="G8" s="1"/>
      <c r="H8" s="1"/>
      <c r="I8" s="1"/>
    </row>
    <row r="9" spans="1:9" x14ac:dyDescent="0.3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35">
      <c r="A10" s="1"/>
      <c r="B10" s="104" t="s">
        <v>67</v>
      </c>
      <c r="C10" s="105"/>
      <c r="D10" s="105"/>
      <c r="E10" s="105"/>
      <c r="F10" s="106"/>
      <c r="G10" s="51">
        <f>(G5-G6)*(1+'Fane 14. Nøgletal'!C10)</f>
        <v>10648226.808049791</v>
      </c>
      <c r="H10" s="14" t="s">
        <v>3</v>
      </c>
      <c r="I10" s="1"/>
    </row>
    <row r="11" spans="1:9" x14ac:dyDescent="0.35">
      <c r="A11" s="1"/>
      <c r="B11" s="104" t="s">
        <v>147</v>
      </c>
      <c r="C11" s="105"/>
      <c r="D11" s="105"/>
      <c r="E11" s="105"/>
      <c r="F11" s="106"/>
      <c r="G11" s="51">
        <v>2433855.3489548289</v>
      </c>
      <c r="H11" s="14" t="s">
        <v>3</v>
      </c>
      <c r="I11" s="1"/>
    </row>
    <row r="12" spans="1:9" x14ac:dyDescent="0.35">
      <c r="A12" s="1"/>
      <c r="B12" s="107" t="s">
        <v>68</v>
      </c>
      <c r="C12" s="108"/>
      <c r="D12" s="108"/>
      <c r="E12" s="108"/>
      <c r="F12" s="109"/>
      <c r="G12" s="51">
        <v>0</v>
      </c>
      <c r="H12" s="14" t="s">
        <v>3</v>
      </c>
      <c r="I12" s="1"/>
    </row>
    <row r="13" spans="1:9" x14ac:dyDescent="0.35">
      <c r="A13" s="1"/>
      <c r="B13" s="104" t="s">
        <v>69</v>
      </c>
      <c r="C13" s="105"/>
      <c r="D13" s="105"/>
      <c r="E13" s="105"/>
      <c r="F13" s="106"/>
      <c r="G13" s="51">
        <f>SUM(G10:G12)*'Fane 14. Nøgletal'!C20</f>
        <v>231552.85417898177</v>
      </c>
      <c r="H13" s="14" t="s">
        <v>3</v>
      </c>
      <c r="I13" s="1"/>
    </row>
    <row r="14" spans="1:9" x14ac:dyDescent="0.35">
      <c r="A14" s="1"/>
      <c r="B14" s="37"/>
      <c r="C14" s="31"/>
      <c r="D14" s="31"/>
      <c r="E14" s="31"/>
      <c r="F14" s="31"/>
      <c r="G14" s="31"/>
      <c r="H14" s="20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35">
      <c r="A17" s="1"/>
      <c r="B17" s="104" t="s">
        <v>71</v>
      </c>
      <c r="C17" s="105"/>
      <c r="D17" s="105"/>
      <c r="E17" s="105"/>
      <c r="F17" s="106"/>
      <c r="G17" s="51">
        <f>(SUM(G10:G12)-G13)*(1+'Fane 14. Nøgletal'!C10)</f>
        <v>13075413.565625086</v>
      </c>
      <c r="H17" s="14" t="s">
        <v>3</v>
      </c>
      <c r="I17" s="1"/>
    </row>
    <row r="18" spans="1:9" x14ac:dyDescent="0.35">
      <c r="A18" s="1"/>
      <c r="B18" s="107" t="s">
        <v>72</v>
      </c>
      <c r="C18" s="108"/>
      <c r="D18" s="108"/>
      <c r="E18" s="108"/>
      <c r="F18" s="109"/>
      <c r="G18" s="51">
        <v>0</v>
      </c>
      <c r="H18" s="14" t="s">
        <v>3</v>
      </c>
      <c r="I18" s="1"/>
    </row>
    <row r="19" spans="1:9" x14ac:dyDescent="0.35">
      <c r="A19" s="1"/>
      <c r="B19" s="104" t="s">
        <v>73</v>
      </c>
      <c r="C19" s="105"/>
      <c r="D19" s="105"/>
      <c r="E19" s="105"/>
      <c r="F19" s="106"/>
      <c r="G19" s="51">
        <f>G17*'Fane 14. Nøgletal'!C20+G18*'Fane 14. Nøgletal'!C21</f>
        <v>231434.82011156404</v>
      </c>
      <c r="H19" s="14" t="s">
        <v>3</v>
      </c>
      <c r="I19" s="1"/>
    </row>
    <row r="20" spans="1:9" x14ac:dyDescent="0.35">
      <c r="A20" s="1"/>
      <c r="B20" s="37"/>
      <c r="C20" s="31"/>
      <c r="D20" s="31"/>
      <c r="E20" s="31"/>
      <c r="F20" s="31"/>
      <c r="G20" s="31"/>
      <c r="H20" s="20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35">
      <c r="A23" s="1"/>
      <c r="B23" s="104" t="s">
        <v>75</v>
      </c>
      <c r="C23" s="105"/>
      <c r="D23" s="105"/>
      <c r="E23" s="105"/>
      <c r="F23" s="106"/>
      <c r="G23" s="51">
        <f>(G17+G18-G19)*(1+'Fane 14. Nøgletal'!C12)</f>
        <v>13097005.12680014</v>
      </c>
      <c r="H23" s="14" t="s">
        <v>3</v>
      </c>
      <c r="I23" s="1"/>
    </row>
    <row r="24" spans="1:9" x14ac:dyDescent="0.35">
      <c r="A24" s="1"/>
      <c r="B24" s="107" t="s">
        <v>76</v>
      </c>
      <c r="C24" s="108"/>
      <c r="D24" s="108"/>
      <c r="E24" s="108"/>
      <c r="F24" s="109"/>
      <c r="G24" s="51">
        <v>1170787.1442431672</v>
      </c>
      <c r="H24" s="14" t="s">
        <v>3</v>
      </c>
      <c r="I24" s="1"/>
    </row>
    <row r="25" spans="1:9" x14ac:dyDescent="0.35">
      <c r="A25" s="1"/>
      <c r="B25" s="104" t="s">
        <v>77</v>
      </c>
      <c r="C25" s="105"/>
      <c r="D25" s="105"/>
      <c r="E25" s="105"/>
      <c r="F25" s="106"/>
      <c r="G25" s="51">
        <f>(G23+G24)*'Fane 14. Nøgletal'!C22</f>
        <v>405205.30049762997</v>
      </c>
      <c r="H25" s="14" t="s">
        <v>3</v>
      </c>
      <c r="I25" s="1"/>
    </row>
    <row r="26" spans="1:9" x14ac:dyDescent="0.35">
      <c r="A26" s="1"/>
      <c r="B26" s="37"/>
      <c r="C26" s="31"/>
      <c r="D26" s="31"/>
      <c r="E26" s="31"/>
      <c r="F26" s="31"/>
      <c r="G26" s="31"/>
      <c r="H26" s="20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35">
      <c r="A29" s="1"/>
      <c r="B29" s="104" t="s">
        <v>79</v>
      </c>
      <c r="C29" s="105"/>
      <c r="D29" s="105"/>
      <c r="E29" s="105"/>
      <c r="F29" s="106"/>
      <c r="G29" s="51">
        <f>(G23+G24-G25)*(1+'Fane 14. Nøgletal'!C12)</f>
        <v>14135679.933865428</v>
      </c>
      <c r="H29" s="14" t="s">
        <v>3</v>
      </c>
      <c r="I29" s="1"/>
    </row>
    <row r="30" spans="1:9" x14ac:dyDescent="0.35">
      <c r="A30" s="1"/>
      <c r="B30" s="104" t="s">
        <v>176</v>
      </c>
      <c r="C30" s="105"/>
      <c r="D30" s="105"/>
      <c r="E30" s="105"/>
      <c r="F30" s="106"/>
      <c r="G30" s="51">
        <v>0</v>
      </c>
      <c r="H30" s="14" t="s">
        <v>3</v>
      </c>
      <c r="I30" s="1"/>
    </row>
    <row r="31" spans="1:9" x14ac:dyDescent="0.35">
      <c r="A31" s="1"/>
      <c r="B31" s="104" t="s">
        <v>80</v>
      </c>
      <c r="C31" s="105"/>
      <c r="D31" s="105"/>
      <c r="E31" s="105"/>
      <c r="F31" s="106"/>
      <c r="G31" s="51">
        <f>G29*'Fane 14. Nøgletal'!C22+G30*'Fane 14. Nøgletal'!C23</f>
        <v>401453.31012177817</v>
      </c>
      <c r="H31" s="14" t="s">
        <v>3</v>
      </c>
      <c r="I31" s="1"/>
    </row>
    <row r="32" spans="1:9" x14ac:dyDescent="0.35">
      <c r="A32" s="1"/>
      <c r="B32" s="37"/>
      <c r="C32" s="31"/>
      <c r="D32" s="31"/>
      <c r="E32" s="31"/>
      <c r="F32" s="31"/>
      <c r="G32" s="31"/>
      <c r="H32" s="20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35">
      <c r="A35" s="1"/>
      <c r="B35" s="104" t="s">
        <v>82</v>
      </c>
      <c r="C35" s="105"/>
      <c r="D35" s="105"/>
      <c r="E35" s="105"/>
      <c r="F35" s="106"/>
      <c r="G35" s="51">
        <f>(G29+G30-G31)*(1+'Fane 14. Nøgletal'!C14)</f>
        <v>13779549.571602006</v>
      </c>
      <c r="H35" s="14" t="s">
        <v>3</v>
      </c>
      <c r="I35" s="1"/>
    </row>
    <row r="36" spans="1:9" x14ac:dyDescent="0.35">
      <c r="A36" s="1"/>
      <c r="B36" s="104" t="s">
        <v>240</v>
      </c>
      <c r="C36" s="105"/>
      <c r="D36" s="105"/>
      <c r="E36" s="105"/>
      <c r="F36" s="106"/>
      <c r="G36" s="51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35">
      <c r="A37" s="1"/>
      <c r="B37" s="104" t="s">
        <v>239</v>
      </c>
      <c r="C37" s="105"/>
      <c r="D37" s="105"/>
      <c r="E37" s="105"/>
      <c r="F37" s="106"/>
      <c r="G37" s="51">
        <f>(G35+G36)*'Fane 14. Nøgletal'!C24</f>
        <v>203937.33365970969</v>
      </c>
      <c r="H37" s="14" t="s">
        <v>3</v>
      </c>
      <c r="I37" s="1"/>
    </row>
    <row r="38" spans="1:9" x14ac:dyDescent="0.35">
      <c r="A38" s="1"/>
      <c r="B38" s="37"/>
      <c r="C38" s="31"/>
      <c r="D38" s="31"/>
      <c r="E38" s="31"/>
      <c r="F38" s="31"/>
      <c r="G38" s="31"/>
      <c r="H38" s="20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35">
      <c r="A41" s="1"/>
      <c r="B41" s="104" t="s">
        <v>81</v>
      </c>
      <c r="C41" s="105"/>
      <c r="D41" s="105"/>
      <c r="E41" s="105"/>
      <c r="F41" s="106"/>
      <c r="G41" s="51">
        <f>(G35+G36-G37)*(1+'Fane 14. Nøgletal'!C14)</f>
        <v>13620411.758327506</v>
      </c>
      <c r="H41" s="14" t="s">
        <v>3</v>
      </c>
      <c r="I41" s="1"/>
    </row>
    <row r="42" spans="1:9" x14ac:dyDescent="0.35">
      <c r="A42" s="1"/>
      <c r="B42" s="46" t="s">
        <v>242</v>
      </c>
      <c r="C42" s="63"/>
      <c r="D42" s="63"/>
      <c r="E42" s="63"/>
      <c r="F42" s="64"/>
      <c r="G42" s="51">
        <f>G36*(1+'Fane 14. Nøgletal'!C14)</f>
        <v>0</v>
      </c>
      <c r="H42" s="14" t="s">
        <v>3</v>
      </c>
      <c r="I42" s="1"/>
    </row>
    <row r="43" spans="1:9" x14ac:dyDescent="0.35">
      <c r="A43" s="1"/>
      <c r="B43" s="104" t="s">
        <v>101</v>
      </c>
      <c r="C43" s="105"/>
      <c r="D43" s="105"/>
      <c r="E43" s="105"/>
      <c r="F43" s="106"/>
      <c r="G43" s="51">
        <f>-'Fane 13. Bortfald'!E18*(1+'Fane 14. Nøgletal'!C14)</f>
        <v>0</v>
      </c>
      <c r="H43" s="14" t="s">
        <v>3</v>
      </c>
      <c r="I43" s="1"/>
    </row>
    <row r="44" spans="1:9" x14ac:dyDescent="0.35">
      <c r="A44" s="1"/>
      <c r="B44" s="104" t="s">
        <v>241</v>
      </c>
      <c r="C44" s="105"/>
      <c r="D44" s="105"/>
      <c r="E44" s="105"/>
      <c r="F44" s="106"/>
      <c r="G44" s="51">
        <f>(G41+G43)*'Fane 14. Nøgletal'!C24</f>
        <v>201582.0940232471</v>
      </c>
      <c r="H44" s="14" t="s">
        <v>3</v>
      </c>
      <c r="I44" s="1"/>
    </row>
    <row r="45" spans="1:9" x14ac:dyDescent="0.35">
      <c r="A45" s="1"/>
      <c r="B45" s="37"/>
      <c r="C45" s="31"/>
      <c r="D45" s="31"/>
      <c r="E45" s="31"/>
      <c r="F45" s="31"/>
      <c r="G45" s="31"/>
      <c r="H45" s="20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35">
      <c r="A53" s="1"/>
      <c r="B53" s="104" t="s">
        <v>182</v>
      </c>
      <c r="C53" s="105"/>
      <c r="D53" s="105"/>
      <c r="E53" s="105"/>
      <c r="F53" s="106"/>
      <c r="G53" s="51">
        <f>(G41+G43-G44)*(1+'Fane 14. Nøgletal'!C14)</f>
        <v>13463111.802196465</v>
      </c>
      <c r="H53" s="14" t="s">
        <v>3</v>
      </c>
      <c r="I53" s="1"/>
    </row>
    <row r="54" spans="1:9" x14ac:dyDescent="0.35">
      <c r="A54" s="1"/>
      <c r="B54" s="104" t="s">
        <v>183</v>
      </c>
      <c r="C54" s="105"/>
      <c r="D54" s="105"/>
      <c r="E54" s="105"/>
      <c r="F54" s="106"/>
      <c r="G54" s="51">
        <f>-'Fane 13. Bortfald'!E24*(1+'Fane 14. Nøgletal'!C13)</f>
        <v>0</v>
      </c>
      <c r="H54" s="14" t="s">
        <v>3</v>
      </c>
      <c r="I54" s="1"/>
    </row>
    <row r="55" spans="1:9" x14ac:dyDescent="0.35">
      <c r="A55" s="1"/>
      <c r="B55" s="104" t="s">
        <v>184</v>
      </c>
      <c r="C55" s="105"/>
      <c r="D55" s="105"/>
      <c r="E55" s="105"/>
      <c r="F55" s="106"/>
      <c r="G55" s="51">
        <f>(G53+G54)*'Fane 14. Nøgletal'!C24</f>
        <v>199254.05467250769</v>
      </c>
      <c r="H55" s="14" t="s">
        <v>3</v>
      </c>
      <c r="I55" s="1"/>
    </row>
    <row r="56" spans="1:9" x14ac:dyDescent="0.35">
      <c r="A56" s="1"/>
      <c r="B56" s="37"/>
      <c r="C56" s="31"/>
      <c r="D56" s="31"/>
      <c r="E56" s="31"/>
      <c r="F56" s="31"/>
      <c r="G56" s="31"/>
      <c r="H56" s="20"/>
      <c r="I56" s="1"/>
    </row>
    <row r="57" spans="1:9" x14ac:dyDescent="0.3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35">
      <c r="A59" s="1"/>
      <c r="B59" s="104" t="s">
        <v>255</v>
      </c>
      <c r="C59" s="105"/>
      <c r="D59" s="105"/>
      <c r="E59" s="105"/>
      <c r="F59" s="106"/>
      <c r="G59" s="51">
        <f>(G53+G54-G55)*(1+'Fane 14. Nøgletal'!C14)</f>
        <v>13307628.478090787</v>
      </c>
      <c r="H59" s="14" t="s">
        <v>3</v>
      </c>
      <c r="I59" s="1"/>
    </row>
    <row r="60" spans="1:9" x14ac:dyDescent="0.35">
      <c r="A60" s="1"/>
      <c r="B60" s="104" t="s">
        <v>256</v>
      </c>
      <c r="C60" s="105"/>
      <c r="D60" s="105"/>
      <c r="E60" s="105"/>
      <c r="F60" s="106"/>
      <c r="G60" s="51">
        <f>-'Fane 13. Bortfald'!E30*(1+'Fane 14. Nøgletal'!C14)</f>
        <v>0</v>
      </c>
      <c r="H60" s="14" t="s">
        <v>3</v>
      </c>
      <c r="I60" s="1"/>
    </row>
    <row r="61" spans="1:9" x14ac:dyDescent="0.35">
      <c r="A61" s="1"/>
      <c r="B61" s="104" t="s">
        <v>257</v>
      </c>
      <c r="C61" s="105"/>
      <c r="D61" s="105"/>
      <c r="E61" s="105"/>
      <c r="F61" s="106"/>
      <c r="G61" s="51">
        <f>(G59+G60)*'Fane 14. Nøgletal'!C24</f>
        <v>196952.90147574365</v>
      </c>
      <c r="H61" s="14" t="s">
        <v>3</v>
      </c>
      <c r="I61" s="1"/>
    </row>
    <row r="62" spans="1:9" x14ac:dyDescent="0.35">
      <c r="A62" s="1"/>
      <c r="B62" s="37"/>
      <c r="C62" s="31"/>
      <c r="D62" s="31"/>
      <c r="E62" s="31"/>
      <c r="F62" s="31"/>
      <c r="G62" s="31"/>
      <c r="H62" s="20"/>
      <c r="I62" s="1"/>
    </row>
    <row r="63" spans="1:9" x14ac:dyDescent="0.3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i69w2WxMuTnXiFPbF0ycS5z5l9lnZzNvyyS2hmbQiyYnAULCf7pLVWOrqxlfDbp6IbH8FBZQDydi7srNWkYag==" saltValue="sQslK5sdtWmD94Rarbly3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1"/>
  <dimension ref="A1:I49"/>
  <sheetViews>
    <sheetView showGridLines="0" view="pageLayout" zoomScaleNormal="100" workbookViewId="0"/>
  </sheetViews>
  <sheetFormatPr defaultColWidth="9.1796875" defaultRowHeight="14.5" x14ac:dyDescent="0.35"/>
  <cols>
    <col min="1" max="1" width="7.81640625" style="2" customWidth="1"/>
    <col min="2" max="5" width="9.1796875" style="2"/>
    <col min="6" max="6" width="19.81640625" style="2" customWidth="1"/>
    <col min="7" max="7" width="10.26953125" style="2" customWidth="1"/>
    <col min="8" max="8" width="3.26953125" style="2" customWidth="1"/>
    <col min="9" max="9" width="7.81640625" style="2" customWidth="1"/>
    <col min="10" max="16384" width="9.17968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3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35">
      <c r="A9" s="1"/>
      <c r="B9" s="104" t="s">
        <v>243</v>
      </c>
      <c r="C9" s="105"/>
      <c r="D9" s="105"/>
      <c r="E9" s="105"/>
      <c r="F9" s="106"/>
      <c r="G9" s="23">
        <v>1.1269885678560038E-2</v>
      </c>
      <c r="H9" s="14"/>
      <c r="I9" s="1"/>
    </row>
    <row r="10" spans="1:9" x14ac:dyDescent="0.35">
      <c r="A10" s="1"/>
      <c r="B10" s="104" t="s">
        <v>86</v>
      </c>
      <c r="C10" s="105"/>
      <c r="D10" s="105"/>
      <c r="E10" s="105"/>
      <c r="F10" s="106"/>
      <c r="G10" s="23">
        <v>6.3744988676386798E-3</v>
      </c>
      <c r="H10" s="14"/>
      <c r="I10" s="1"/>
    </row>
    <row r="11" spans="1:9" x14ac:dyDescent="0.35">
      <c r="A11" s="1"/>
      <c r="B11" s="104" t="s">
        <v>87</v>
      </c>
      <c r="C11" s="105"/>
      <c r="D11" s="105"/>
      <c r="E11" s="105"/>
      <c r="F11" s="106"/>
      <c r="G11" s="40">
        <v>0</v>
      </c>
      <c r="H11" s="14"/>
      <c r="I11" s="1"/>
    </row>
    <row r="12" spans="1:9" x14ac:dyDescent="0.35">
      <c r="A12" s="1"/>
      <c r="B12" s="104" t="s">
        <v>206</v>
      </c>
      <c r="C12" s="105"/>
      <c r="D12" s="105"/>
      <c r="E12" s="105"/>
      <c r="F12" s="106"/>
      <c r="G12" s="40">
        <v>0.02</v>
      </c>
      <c r="H12" s="45"/>
      <c r="I12" s="1"/>
    </row>
    <row r="13" spans="1:9" x14ac:dyDescent="0.35">
      <c r="A13" s="1"/>
      <c r="B13" s="37"/>
      <c r="C13" s="31"/>
      <c r="D13" s="31"/>
      <c r="E13" s="31"/>
      <c r="F13" s="31"/>
      <c r="G13" s="31"/>
      <c r="H13" s="20"/>
      <c r="I13" s="1"/>
    </row>
    <row r="14" spans="1:9" ht="40.5" customHeight="1" x14ac:dyDescent="0.3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3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UH3FDu9LYrDkYS+NQQ7IgDpdFG7WajYbXP0oHJ1JvAtid2LnwsOJQ5Y9RYgU8Vzp3oZlU4Bz47Z67x5dSXJww==" saltValue="ej5GnjMfDsSclJFIcjHIo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2023-05-17T11:52:43Z</dcterms:modified>
</cp:coreProperties>
</file>