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center Syd AS (V19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<sst xmlns="http://schemas.openxmlformats.org/spreadsheetml/2006/main" count="623" uniqueCount="255">
  <si>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</si>
  <si>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</si>
  <si>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</si>
  <si>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</si>
  <si>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</si>
  <si>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</si>
  <si>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</si>
  <si>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</si>
  <si>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</si>
  <si>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</si>
  <si>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</si>
  <si>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</si>
  <si>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</si>
  <si>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</si>
  <si>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</si>
  <si>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</si>
  <si>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</si>
  <si>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</si>
  <si>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</si>
  <si>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</si>
  <si>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</si>
  <si>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</si>
  <si>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</si>
  <si>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</si>
  <si>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</si>
  <si>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</si>
  <si>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</si>
  <si>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</si>
  <si>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</si>
  <si>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</si>
  <si>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</si>
  <si>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</si>
  <si>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</si>
  <si>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</si>
  <si>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</si>
  <si>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</si>
  <si>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</si>
  <si>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</si>
  <si>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</si>
  <si>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</si>
  <si>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</si>
  <si>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</si>
  <si>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</si>
  <si>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</si>
  <si>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</si>
  <si>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</si>
  <si>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</si>
  <si>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</si>
  <si>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</si>
  <si>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</si>
  <si>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</si>
  <si>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</si>
  <si>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</si>
  <si>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</si>
  <si>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</si>
  <si>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</si>
  <si>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</si>
  <si>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</si>
  <si>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</si>
  <si>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</si>
  <si>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</si>
  <si>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</si>
  <si>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</si>
  <si>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</si>
  <si>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</si>
  <si>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</si>
  <si>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</si>
  <si>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</si>
  <si>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</si>
  <si>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</si>
  <si>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</si>
  <si>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</si>
  <si>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</si>
  <si>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</si>
  <si>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</si>
  <si>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</si>
  <si>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</si>
  <si>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</si>
  <si>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</si>
  <si>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</si>
  <si>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</si>
  <si>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</si>
  <si>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</si>
  <si>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</si>
  <si>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</si>
  <si>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</si>
  <si>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</si>
  <si>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</si>
  <si>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</si>
  <si>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</si>
  <si>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</si>
  <si>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</si>
  <si>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</si>
  <si>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</si>
  <si>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</si>
  <si>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</si>
  <si>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</si>
  <si>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</si>
  <si>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</si>
  <si>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</si>
  <si>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</si>
  <si>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</si>
  <si>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</si>
  <si>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</si>
  <si>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</si>
  <si>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</si>
  <si>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</si>
  <si>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</si>
  <si>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</si>
  <si>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</si>
  <si>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</si>
  <si>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</si>
  <si>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</si>
  <si>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</si>
  <si>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</si>
  <si>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</si>
  <si>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</si>
  <si>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</si>
  <si>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</si>
  <si>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</si>
  <si>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</si>
  <si>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</si>
  <si>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</si>
  <si>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</si>
  <si>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</si>
  <si>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</si>
  <si>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</si>
  <si>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</si>
  <si>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</si>
  <si>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</si>
  <si>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</si>
  <si>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</si>
  <si>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</si>
  <si>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</si>
  <si>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</si>
  <si>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</si>
  <si>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</si>
  <si>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</si>
  <si>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</si>
  <si>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</si>
  <si>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</si>
  <si>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</si>
  <si>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</si>
  <si>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</si>
  <si>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</si>
  <si>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</si>
  <si>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</si>
  <si>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</si>
  <si>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</si>
  <si>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</si>
  <si>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</si>
  <si>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</si>
  <si>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</si>
  <si>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</si>
  <si>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</si>
  <si>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</si>
  <si>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</si>
  <si>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</si>
  <si>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</si>
  <si>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</si>
  <si>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</si>
  <si>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</si>
  <si>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</si>
  <si>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</si>
  <si>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</si>
  <si>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</si>
  <si>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</si>
  <si>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</si>
  <si>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</si>
  <si>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</si>
  <si>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</si>
  <si>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</si>
  <si>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</si>
  <si>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</si>
  <si>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</si>
  <si>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</si>
  <si>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</si>
  <si>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</si>
  <si>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</si>
  <si>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</si>
  <si>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</si>
  <si>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</si>
  <si>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</si>
  <si>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</si>
  <si>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</si>
  <si>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</si>
  <si>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</si>
  <si>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</si>
  <si>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</si>
  <si>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</si>
  <si>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</si>
  <si>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</si>
  <si>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</si>
  <si>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</si>
  <si>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</si>
  <si>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</si>
  <si>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</si>
  <si>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</si>
  <si>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</si>
  <si>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</si>
  <si>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</si>
  <si>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</si>
  <si>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</si>
  <si>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</si>
  <si>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</si>
  <si>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</si>
  <si>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</si>
  <si>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</si>
  <si>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</si>
  <si>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</si>
  <si>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</si>
  <si>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</si>
  <si>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</si>
  <si>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</si>
  <si>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</si>
  <si>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</si>
  <si>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</si>
  <si>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</si>
  <si>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</si>
  <si>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</si>
  <si>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</si>
  <si>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</si>
  <si>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</si>
  <si>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</si>
  <si>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</si>
  <si>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</si>
  <si>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</si>
  <si>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Langesøstien og P-anlæg ved Odense Letbane</t>
  </si>
  <si>
    <t>Udvidelse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</si>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</sst>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180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181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182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183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nUE8Z6r0aPcbFgnTuknfkiT5rZC2F+F7ew8YKlUqv0xxG+qDLx6/QX0zSUeOwAto4SQ/97hKLrGhU0dHlsAVA==" saltValue="qUgQ/9xx0fB67qAExSB7g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203</v>
      </c>
      <c r="C8" s="113"/>
      <c r="D8" s="114"/>
      <c r="E8" s="1"/>
      <c r="F8" s="1"/>
    </row>
    <row r="9" spans="1:6" ht="15" customHeight="1" x14ac:dyDescent="0.25">
      <c r="A9" s="1"/>
      <c r="B9" s="48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3" t="s">
        <v>230</v>
      </c>
      <c r="C10" s="9">
        <v>59083578</v>
      </c>
      <c r="D10" s="14" t="s">
        <v>3</v>
      </c>
      <c r="E10" s="1"/>
      <c r="F10" s="1"/>
    </row>
    <row r="11" spans="1:6" x14ac:dyDescent="0.25">
      <c r="A11" s="1"/>
      <c r="B11" s="63" t="s">
        <v>231</v>
      </c>
      <c r="C11" s="9">
        <v>140301</v>
      </c>
      <c r="D11" s="14" t="s">
        <v>3</v>
      </c>
      <c r="E11" s="1"/>
      <c r="F11" s="1"/>
    </row>
    <row r="12" spans="1:6" x14ac:dyDescent="0.25">
      <c r="A12" s="1"/>
      <c r="B12" s="63" t="s">
        <v>232</v>
      </c>
      <c r="C12" s="9">
        <v>178875.96</v>
      </c>
      <c r="D12" s="14" t="s">
        <v>3</v>
      </c>
      <c r="E12" s="1"/>
      <c r="F12" s="1"/>
    </row>
    <row r="13" spans="1:6" x14ac:dyDescent="0.25">
      <c r="A13" s="1"/>
      <c r="B13" s="63" t="s">
        <v>233</v>
      </c>
      <c r="C13" s="9">
        <v>155487.41</v>
      </c>
      <c r="D13" s="14" t="s">
        <v>3</v>
      </c>
      <c r="E13" s="1"/>
      <c r="F13" s="1"/>
    </row>
    <row r="14" spans="1:6" x14ac:dyDescent="0.25">
      <c r="A14" s="1"/>
      <c r="B14" s="51" t="s">
        <v>205</v>
      </c>
      <c r="C14" s="12">
        <f>SUM(C10:C13)</f>
        <v>59558242.369999997</v>
      </c>
      <c r="D14" s="13" t="s">
        <v>3</v>
      </c>
      <c r="E14" s="1"/>
      <c r="F14" s="1"/>
    </row>
    <row r="15" spans="1:6" x14ac:dyDescent="0.25">
      <c r="A15" s="1"/>
      <c r="B15" s="51" t="s">
        <v>206</v>
      </c>
      <c r="C15" s="12">
        <f>C14*(1+'Fane 12. Nøgletal'!C14)^2</f>
        <v>59951975.358901419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7LVoklGFRocegqNXxK/CZwlDyiHo1d2S9CzdnkQO/399qbW1B7r3IpxOOMyhCjlQjQvNPo2b9G+Qo7da31h9xg==" saltValue="5PZHoA5RdBR0xH61vxCbD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221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235</v>
      </c>
      <c r="C8" s="113"/>
      <c r="D8" s="113"/>
      <c r="E8" s="113"/>
      <c r="F8" s="114"/>
      <c r="G8" s="1"/>
    </row>
    <row r="9" spans="1:7" x14ac:dyDescent="0.25">
      <c r="A9" s="1"/>
      <c r="B9" s="115" t="s">
        <v>236</v>
      </c>
      <c r="C9" s="116"/>
      <c r="D9" s="117"/>
      <c r="E9" s="9">
        <v>15660718.437078506</v>
      </c>
      <c r="F9" s="14" t="s">
        <v>3</v>
      </c>
      <c r="G9" s="1"/>
    </row>
    <row r="10" spans="1:7" x14ac:dyDescent="0.25">
      <c r="A10" s="1"/>
      <c r="B10" s="115" t="s">
        <v>237</v>
      </c>
      <c r="C10" s="116"/>
      <c r="D10" s="117"/>
      <c r="E10" s="9">
        <v>11700741.339946657</v>
      </c>
      <c r="F10" s="14" t="s">
        <v>3</v>
      </c>
      <c r="G10" s="1"/>
    </row>
    <row r="11" spans="1:7" x14ac:dyDescent="0.25">
      <c r="A11" s="1"/>
      <c r="B11" s="115" t="s">
        <v>238</v>
      </c>
      <c r="C11" s="116"/>
      <c r="D11" s="117"/>
      <c r="E11" s="9">
        <v>2535719.6297007799</v>
      </c>
      <c r="F11" s="14" t="s">
        <v>3</v>
      </c>
      <c r="G11" s="1"/>
    </row>
    <row r="12" spans="1:7" x14ac:dyDescent="0.25">
      <c r="A12" s="1"/>
      <c r="B12" s="115" t="s">
        <v>239</v>
      </c>
      <c r="C12" s="116"/>
      <c r="D12" s="117"/>
      <c r="E12" s="9">
        <f>IF(OR(AND(E10&gt;0,E11&lt;0),AND(E11&lt;0,E34&gt;0)),E17+E18,E11)</f>
        <v>2535719.6297007799</v>
      </c>
      <c r="F12" s="14" t="s">
        <v>3</v>
      </c>
      <c r="G12" s="1"/>
    </row>
    <row r="13" spans="1:7" x14ac:dyDescent="0.25">
      <c r="A13" s="1"/>
      <c r="B13" s="51"/>
      <c r="C13" s="52"/>
      <c r="D13" s="52"/>
      <c r="E13" s="52"/>
      <c r="F13" s="20"/>
      <c r="G13" s="1"/>
    </row>
    <row r="14" spans="1:7" ht="54.75" customHeight="1" x14ac:dyDescent="0.25">
      <c r="A14" s="1"/>
      <c r="B14" s="101" t="s">
        <v>240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241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242</v>
      </c>
      <c r="C17" s="116"/>
      <c r="D17" s="117"/>
      <c r="E17" s="9">
        <v>0</v>
      </c>
      <c r="F17" s="14" t="s">
        <v>3</v>
      </c>
      <c r="G17" s="1"/>
    </row>
    <row r="18" spans="1:7" x14ac:dyDescent="0.25">
      <c r="A18" s="1"/>
      <c r="B18" s="115" t="s">
        <v>243</v>
      </c>
      <c r="C18" s="116"/>
      <c r="D18" s="117"/>
      <c r="E18" s="9">
        <v>0</v>
      </c>
      <c r="F18" s="14" t="s">
        <v>3</v>
      </c>
      <c r="G18" s="1"/>
    </row>
    <row r="19" spans="1:7" x14ac:dyDescent="0.25">
      <c r="A19" s="1"/>
      <c r="B19" s="51"/>
      <c r="C19" s="52"/>
      <c r="D19" s="52"/>
      <c r="E19" s="52"/>
      <c r="F19" s="20"/>
      <c r="G19" s="1"/>
    </row>
    <row r="20" spans="1:7" ht="30" customHeight="1" x14ac:dyDescent="0.25">
      <c r="A20" s="1"/>
      <c r="B20" s="101" t="s">
        <v>244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207</v>
      </c>
      <c r="C22" s="61"/>
      <c r="D22" s="61"/>
      <c r="E22" s="61"/>
      <c r="F22" s="62"/>
      <c r="G22" s="1"/>
    </row>
    <row r="23" spans="1:7" x14ac:dyDescent="0.25">
      <c r="A23" s="1"/>
      <c r="B23" s="57" t="s">
        <v>208</v>
      </c>
      <c r="C23" s="58"/>
      <c r="D23" s="59"/>
      <c r="E23" s="9">
        <v>163401173.93226433</v>
      </c>
      <c r="F23" s="14" t="s">
        <v>3</v>
      </c>
      <c r="G23" s="1"/>
    </row>
    <row r="24" spans="1:7" x14ac:dyDescent="0.25">
      <c r="A24" s="1"/>
      <c r="B24" s="57" t="s">
        <v>209</v>
      </c>
      <c r="C24" s="58"/>
      <c r="D24" s="59"/>
      <c r="E24" s="9">
        <v>162941750</v>
      </c>
      <c r="F24" s="14" t="s">
        <v>3</v>
      </c>
      <c r="G24" s="1"/>
    </row>
    <row r="25" spans="1:7" x14ac:dyDescent="0.25">
      <c r="A25" s="1"/>
      <c r="B25" s="57" t="s">
        <v>34</v>
      </c>
      <c r="C25" s="58"/>
      <c r="D25" s="59"/>
      <c r="E25" s="9">
        <v>0</v>
      </c>
      <c r="F25" s="14" t="s">
        <v>3</v>
      </c>
      <c r="G25" s="1"/>
    </row>
    <row r="26" spans="1:7" x14ac:dyDescent="0.25">
      <c r="A26" s="1"/>
      <c r="B26" s="65" t="s">
        <v>252</v>
      </c>
      <c r="C26" s="66"/>
      <c r="D26" s="67"/>
      <c r="E26" s="45">
        <f>E23-(E24-E25)</f>
        <v>459423.932264328</v>
      </c>
      <c r="F26" s="17" t="s">
        <v>3</v>
      </c>
      <c r="G26" s="1"/>
    </row>
    <row r="27" spans="1:7" x14ac:dyDescent="0.25">
      <c r="A27" s="1"/>
      <c r="B27" s="51"/>
      <c r="C27" s="52"/>
      <c r="D27" s="52"/>
      <c r="E27" s="5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245</v>
      </c>
      <c r="C29" s="113"/>
      <c r="D29" s="113"/>
      <c r="E29" s="113"/>
      <c r="F29" s="114"/>
      <c r="G29" s="1"/>
    </row>
    <row r="30" spans="1:7" x14ac:dyDescent="0.25">
      <c r="A30" s="1"/>
      <c r="B30" s="130" t="s">
        <v>246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247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253</v>
      </c>
      <c r="C34" s="138"/>
      <c r="D34" s="139"/>
      <c r="E34" s="9">
        <v>3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0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101" t="s">
        <v>251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T6tcpSuQEQojrMs0Flwm1QtX2bZDs9sG4H09ZP+iiCZdRdLz97wtwkMRaRsTnvX0o3y9zM7v4/T6zn1RO1ygQ==" saltValue="tmFzN2bWW8RlzBp/t9VZ+Q==" spinCount="100000" sheet="1" objects="1" scenarios="1"/>
  <mergeCells count="21"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3:F4"/>
    <mergeCell ref="B17:D17"/>
    <mergeCell ref="B9:D9"/>
    <mergeCell ref="B29:F29"/>
    <mergeCell ref="B30:D3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25">
      <c r="A10" s="1"/>
      <c r="B10" s="68" t="s">
        <v>254</v>
      </c>
      <c r="C10" s="6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jUWxpVx9t9QlxvErkWeKpommyQuSXW8OUmwKUSMwmVzV2wG79i4nvh0/atJg6G6XEegT0kv20K1SLi4mlAXjUQ==" saltValue="+0AG+qTZ0lE+1VkHcX1Eo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84</v>
      </c>
      <c r="C8" s="52"/>
      <c r="D8" s="52"/>
      <c r="E8" s="52"/>
      <c r="F8" s="20"/>
      <c r="G8" s="1"/>
    </row>
    <row r="9" spans="1:7" ht="17.25" customHeight="1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0</v>
      </c>
      <c r="D11" s="14" t="s">
        <v>3</v>
      </c>
      <c r="E11" s="9">
        <v>144071</v>
      </c>
      <c r="F11" s="14" t="s">
        <v>3</v>
      </c>
      <c r="G11" s="1"/>
    </row>
    <row r="12" spans="1:7" x14ac:dyDescent="0.25">
      <c r="A12" s="1"/>
      <c r="B12" s="25" t="s">
        <v>228</v>
      </c>
      <c r="C12" s="22">
        <v>149543</v>
      </c>
      <c r="D12" s="14" t="s">
        <v>3</v>
      </c>
      <c r="E12" s="9">
        <v>430718</v>
      </c>
      <c r="F12" s="14" t="s">
        <v>3</v>
      </c>
      <c r="G12" s="1"/>
    </row>
    <row r="13" spans="1:7" x14ac:dyDescent="0.25">
      <c r="A13" s="1"/>
      <c r="B13" s="51" t="s">
        <v>136</v>
      </c>
      <c r="C13" s="12">
        <f>SUM(C10:C12)</f>
        <v>149543</v>
      </c>
      <c r="D13" s="13" t="s">
        <v>3</v>
      </c>
      <c r="E13" s="12">
        <f>SUM(E10:E12)</f>
        <v>574789</v>
      </c>
      <c r="F13" s="13" t="s">
        <v>3</v>
      </c>
      <c r="G13" s="1"/>
    </row>
    <row r="14" spans="1:7" x14ac:dyDescent="0.25">
      <c r="A14" s="1"/>
      <c r="B14" s="51" t="s">
        <v>210</v>
      </c>
      <c r="C14" s="12">
        <f>C13*(1+'Fane 12. Nøgletal'!C14)</f>
        <v>150036.49190000002</v>
      </c>
      <c r="D14" s="13" t="s">
        <v>3</v>
      </c>
      <c r="E14" s="12">
        <f>E13*(1+'Fane 12. Nøgletal'!C14)</f>
        <v>576685.80370000005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anoc7NriZHNTOH07xkblRywFtINhxBx0oAxGDSJc2GNF93lQEulQyaCEXT0Mn/fclDWGEJ2Wb7SW93Lzpe0Pw==" saltValue="yyeag8nIbmYJ104ecwYUx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248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49" t="s">
        <v>16</v>
      </c>
      <c r="C17" s="49" t="s">
        <v>11</v>
      </c>
      <c r="D17" s="50"/>
      <c r="E17" s="49" t="s">
        <v>32</v>
      </c>
      <c r="F17" s="54"/>
      <c r="G17" s="1"/>
    </row>
    <row r="18" spans="1:7" x14ac:dyDescent="0.25">
      <c r="A18" s="1"/>
      <c r="B18" s="25" t="s">
        <v>248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1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49" t="s">
        <v>16</v>
      </c>
      <c r="C25" s="49" t="s">
        <v>11</v>
      </c>
      <c r="D25" s="50"/>
      <c r="E25" s="49" t="s">
        <v>32</v>
      </c>
      <c r="F25" s="54"/>
      <c r="G25" s="1"/>
    </row>
    <row r="26" spans="1:7" x14ac:dyDescent="0.25">
      <c r="A26" s="1"/>
      <c r="B26" s="25" t="s">
        <v>248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1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212</v>
      </c>
      <c r="C32" s="113"/>
      <c r="D32" s="113"/>
      <c r="E32" s="113"/>
      <c r="F32" s="114"/>
      <c r="G32" s="1"/>
    </row>
    <row r="33" spans="1:7" x14ac:dyDescent="0.25">
      <c r="A33" s="1"/>
      <c r="B33" s="49" t="s">
        <v>16</v>
      </c>
      <c r="C33" s="49" t="s">
        <v>11</v>
      </c>
      <c r="D33" s="50"/>
      <c r="E33" s="49" t="s">
        <v>32</v>
      </c>
      <c r="F33" s="54"/>
      <c r="G33" s="1"/>
    </row>
    <row r="34" spans="1:7" x14ac:dyDescent="0.25">
      <c r="A34" s="1"/>
      <c r="B34" s="25" t="s">
        <v>248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1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1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J2JE/kuZNlNYAdCUoDSzs/Bsm5QRgtCWgEgcpsvTi/X8zcIoXLBzfcjw9PPU4NtqRw9xOIIvPa/awBZ+AQsNw==" saltValue="orZzcv81mJmZuXNzZozhh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cw7jiMIBBVYwI6Fp0D4HoV6CoYG5QfZ9qh+FKCjL095FemN1UElVlageaOdds7kYOBaWYpnHj7KxEoKLg53qBw==" saltValue="lEq1EsdTCZBpqQxYl0XUV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3" t="s">
        <v>17</v>
      </c>
      <c r="C16" s="53" t="s">
        <v>11</v>
      </c>
      <c r="D16" s="54"/>
      <c r="E16" s="53" t="s">
        <v>32</v>
      </c>
      <c r="F16" s="54"/>
      <c r="G16" s="1"/>
    </row>
    <row r="17" spans="1:7" x14ac:dyDescent="0.25">
      <c r="A17" s="1"/>
      <c r="B17" s="25" t="s">
        <v>234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3" t="s">
        <v>17</v>
      </c>
      <c r="C23" s="53" t="s">
        <v>11</v>
      </c>
      <c r="D23" s="54"/>
      <c r="E23" s="53" t="s">
        <v>32</v>
      </c>
      <c r="F23" s="54"/>
      <c r="G23" s="1"/>
    </row>
    <row r="24" spans="1:7" x14ac:dyDescent="0.25">
      <c r="A24" s="1"/>
      <c r="B24" s="25" t="s">
        <v>234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215</v>
      </c>
      <c r="C29" s="113"/>
      <c r="D29" s="113"/>
      <c r="E29" s="113"/>
      <c r="F29" s="114"/>
      <c r="G29" s="1"/>
    </row>
    <row r="30" spans="1:7" ht="26.25" x14ac:dyDescent="0.25">
      <c r="A30" s="1"/>
      <c r="B30" s="53" t="s">
        <v>17</v>
      </c>
      <c r="C30" s="53" t="s">
        <v>11</v>
      </c>
      <c r="D30" s="54"/>
      <c r="E30" s="53" t="s">
        <v>32</v>
      </c>
      <c r="F30" s="54"/>
      <c r="G30" s="1"/>
    </row>
    <row r="31" spans="1:7" x14ac:dyDescent="0.25">
      <c r="A31" s="1"/>
      <c r="B31" s="25" t="s">
        <v>234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1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XY87Sf2VkG5WpSxchxD5PjXkZ9DLNRGo7n7H3qIm6sSXjAfgymySBXDpnpy6qRbgwnDutm2wkdQrLHwtIa9tg==" saltValue="+HQ/cHA5XS40yPQRR/BW7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1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1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1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9gEjAUHpV2A6x5j8VGkyWWHnXIeHXy9cG/nKyZVjUrsAoZLQpeUAO8ZkWwRRXkEKPOQZCsE+jmdmJC00NGkLqQ==" saltValue="Ka3WBXG0Dq7sX67NdHZG/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x14ac:dyDescent="0.25">
      <c r="A9" s="1"/>
      <c r="B9" s="56" t="s">
        <v>24</v>
      </c>
      <c r="C9" s="7">
        <f>'Fane 3. Omkostninger i ØR2021'!E20</f>
        <v>97654488.839647546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265859.4837469646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68490.394144937396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150036.49190000002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576685.80370000005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1193782.9474191801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-1161275.2809108011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-1067867.2801207071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-1356851.5702129481</v>
      </c>
      <c r="D21" s="8" t="s">
        <v>3</v>
      </c>
      <c r="E21" s="1"/>
    </row>
    <row r="22" spans="1:5" ht="17.100000000000001" customHeight="1" x14ac:dyDescent="0.25">
      <c r="A22" s="1"/>
      <c r="B22" s="65" t="s">
        <v>20</v>
      </c>
      <c r="C22" s="10">
        <f>SUM(C9,C12:C21)</f>
        <v>95988999.951422274</v>
      </c>
      <c r="D22" s="11" t="s">
        <v>3</v>
      </c>
      <c r="E22" s="1"/>
    </row>
    <row r="23" spans="1:5" ht="15" customHeight="1" x14ac:dyDescent="0.25">
      <c r="A23" s="1"/>
      <c r="B23" s="51" t="s">
        <v>12</v>
      </c>
      <c r="C23" s="52"/>
      <c r="D23" s="20"/>
      <c r="E23" s="1"/>
    </row>
    <row r="24" spans="1:5" ht="15" customHeight="1" x14ac:dyDescent="0.25">
      <c r="A24" s="1"/>
      <c r="B24" s="53" t="s">
        <v>12</v>
      </c>
      <c r="C24" s="10">
        <f>'Fane 6. Ikke-påvirkelige omk.'!C15</f>
        <v>59951975.358901419</v>
      </c>
      <c r="D24" s="11" t="s">
        <v>3</v>
      </c>
      <c r="E24" s="1"/>
    </row>
    <row r="25" spans="1:5" ht="15" customHeight="1" x14ac:dyDescent="0.25">
      <c r="A25" s="1"/>
      <c r="B25" s="51" t="s">
        <v>89</v>
      </c>
      <c r="C25" s="52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5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2"/>
      <c r="D29" s="20"/>
      <c r="E29" s="1"/>
    </row>
    <row r="30" spans="1:5" x14ac:dyDescent="0.25">
      <c r="A30" s="1"/>
      <c r="B30" s="64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2"/>
      <c r="D31" s="20"/>
      <c r="E31" s="1"/>
    </row>
    <row r="32" spans="1:5" x14ac:dyDescent="0.25">
      <c r="A32" s="1"/>
      <c r="B32" s="64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1" t="s">
        <v>30</v>
      </c>
      <c r="C33" s="31">
        <f>SUM(C22,C24,C28,C30,C32)</f>
        <v>155940975.31032369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brH1lNNbfpu2pulumjQ11hZKZQNzFpMr9uQQ6ALxnw5FV6tUm8KupQe5ixBjKILDkDygnWQzfxHx5MFjZ1dGGQ==" saltValue="eyQtj3vq7AdDpaFCeK/ar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ht="15" customHeight="1" x14ac:dyDescent="0.25">
      <c r="A9" s="1"/>
      <c r="B9" s="56" t="s">
        <v>134</v>
      </c>
      <c r="C9" s="7">
        <f>'Fane 2.1. Økonomisk ramme 2022'!C22</f>
        <v>95988999.951422274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316763.69983969349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-1123148.4748530486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-1049963.4173022036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-716462.59407247347</v>
      </c>
      <c r="D15" s="8" t="s">
        <v>3</v>
      </c>
      <c r="E15" s="1"/>
    </row>
    <row r="16" spans="1:5" ht="15" customHeight="1" x14ac:dyDescent="0.25">
      <c r="A16" s="1"/>
      <c r="B16" s="48" t="s">
        <v>20</v>
      </c>
      <c r="C16" s="10">
        <f>SUM(C9:C15)</f>
        <v>93416189.165034235</v>
      </c>
      <c r="D16" s="11" t="s">
        <v>3</v>
      </c>
      <c r="E16" s="1"/>
    </row>
    <row r="17" spans="1:5" x14ac:dyDescent="0.25">
      <c r="A17" s="1"/>
      <c r="B17" s="51" t="s">
        <v>12</v>
      </c>
      <c r="C17" s="52"/>
      <c r="D17" s="20"/>
      <c r="E17" s="1"/>
    </row>
    <row r="18" spans="1:5" ht="15" customHeight="1" x14ac:dyDescent="0.25">
      <c r="A18" s="1"/>
      <c r="B18" s="53" t="s">
        <v>12</v>
      </c>
      <c r="C18" s="10">
        <f>'Fane 6. Ikke-påvirkelige omk.'!C15*(1+'Fane 12. Nøgletal'!C14)</f>
        <v>60149816.877585799</v>
      </c>
      <c r="D18" s="11" t="s">
        <v>3</v>
      </c>
      <c r="E18" s="1"/>
    </row>
    <row r="19" spans="1:5" ht="15" customHeight="1" x14ac:dyDescent="0.25">
      <c r="A19" s="1"/>
      <c r="B19" s="51" t="s">
        <v>89</v>
      </c>
      <c r="C19" s="52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5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2"/>
      <c r="D23" s="20"/>
      <c r="E23" s="1"/>
    </row>
    <row r="24" spans="1:5" ht="15" customHeight="1" x14ac:dyDescent="0.25">
      <c r="A24" s="1"/>
      <c r="B24" s="64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2"/>
      <c r="D25" s="20"/>
      <c r="E25" s="1"/>
    </row>
    <row r="26" spans="1:5" x14ac:dyDescent="0.25">
      <c r="A26" s="1"/>
      <c r="B26" s="64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1" t="s">
        <v>97</v>
      </c>
      <c r="C27" s="12">
        <f>SUM(C16,C18,C22,C24,C26)</f>
        <v>153566006.04262003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ScsVHt+BCt79Pig44LJE3kWjpSGleI3WdRBnFwmE2KeNfSXpHr/ZgkDyhNuSXfjAIEtEkj3jmUERNx3H8lR8Wg==" saltValue="1oSzI6d2ASTp2Hx2qwcZP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135</v>
      </c>
      <c r="C8" s="7">
        <f>'Fane 2.2. Økonomisk ramme 2023'!C16</f>
        <v>93416189.165034235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308273.42424461298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-1093044.5201053214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-1032359.7306477148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-708188.28220754548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90890870.056318268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Nøgletal'!C14)^2</f>
        <v>60348311.273281835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2"/>
      <c r="D24" s="20"/>
      <c r="E24" s="1"/>
    </row>
    <row r="25" spans="1:5" ht="15" customHeight="1" x14ac:dyDescent="0.25">
      <c r="A25" s="1"/>
      <c r="B25" s="64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187</v>
      </c>
      <c r="C26" s="12">
        <f>SUM(C15,C17,C21,C23,C25)</f>
        <v>151239181.3296001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8ORxHLosxbVGW3WoZagMtK5x1UrwbEd1FcW00nHRIiZfGZzOXybWwnm+CltUM11NY2NKEVe3HTtVNFxI2h2TWw==" saltValue="hJ0b3IAau3h9C2nE+0Ql1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189</v>
      </c>
      <c r="C8" s="7">
        <f>'Fane 2.3. Økonomisk ramme 2024'!C15</f>
        <v>90890870.056318268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299939.87118585029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-1063496.2561697976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-1015051.1874036753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-700009.52904645575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88412252.954884186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Nøgletal'!C14)^3</f>
        <v>60547460.700483672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2"/>
      <c r="D24" s="20"/>
      <c r="E24" s="1"/>
    </row>
    <row r="25" spans="1:5" x14ac:dyDescent="0.25">
      <c r="A25" s="1"/>
      <c r="B25" s="64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190</v>
      </c>
      <c r="C26" s="12">
        <f>SUM(C15,C17,C21,C23,C25)</f>
        <v>148959713.65536785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Zg+N9gvviSVYTW7w3zsvc0RnMYmwBm77Vrj0Ja5Vuxb+Ae3kaE9t8QfHb7pkNWeQV2D+LeqLW3mEYP2LIigKHg==" saltValue="oC9d5XVgU5/1aoyO4agB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191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224</v>
      </c>
      <c r="C8" s="52"/>
      <c r="D8" s="52"/>
      <c r="E8" s="52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99716455.921391085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271243.28279999999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70422.802800000005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1220709.0884852915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-1181145.9705744539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-1073491.816042488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-1369704.469211898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97654488.839647546</v>
      </c>
      <c r="F20" s="11" t="s">
        <v>3</v>
      </c>
      <c r="G20" s="1"/>
    </row>
    <row r="21" spans="1:7" x14ac:dyDescent="0.25">
      <c r="A21" s="1"/>
      <c r="B21" s="51" t="s">
        <v>12</v>
      </c>
      <c r="C21" s="52"/>
      <c r="D21" s="52"/>
      <c r="E21" s="52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59948239.847363278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2"/>
      <c r="F23" s="52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1" t="s">
        <v>161</v>
      </c>
      <c r="C27" s="52"/>
      <c r="D27" s="52"/>
      <c r="E27" s="52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1" t="s">
        <v>249</v>
      </c>
      <c r="C29" s="52"/>
      <c r="D29" s="52"/>
      <c r="E29" s="52"/>
      <c r="F29" s="20"/>
      <c r="G29" s="1"/>
    </row>
    <row r="30" spans="1:7" ht="15.6" customHeight="1" x14ac:dyDescent="0.25">
      <c r="A30" s="1"/>
      <c r="B30" s="94" t="s">
        <v>250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1" t="s">
        <v>29</v>
      </c>
      <c r="C31" s="52"/>
      <c r="D31" s="52"/>
      <c r="E31" s="12">
        <f>E20+E22+E26+E28+E30</f>
        <v>157602728.68701082</v>
      </c>
      <c r="F31" s="13" t="s">
        <v>3</v>
      </c>
      <c r="G31" s="1"/>
    </row>
    <row r="32" spans="1:7" ht="27.75" customHeight="1" x14ac:dyDescent="0.25">
      <c r="A32" s="1"/>
      <c r="B32" s="101" t="s">
        <v>192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Y5dTnpLyd6MecFqoDl3cD4MtwLrmIMDbre8Xom6yBzblzT6r2VTZDXRsOduR3/i4h/3hNX+4XnK0/hm1+NC9A==" saltValue="ZUuI09m8RpSQtZ7MfumKR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62662486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1253249.72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62189133.580755994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1243782.6716151198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61975327.339505352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-7956539.1667111255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1080375.7634558845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53833071.579056151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1076661.431581123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53400038.351274222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274552.45085015998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1073491.8160424877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53242832.393712088</v>
      </c>
      <c r="H35" s="14" t="s">
        <v>3</v>
      </c>
      <c r="I35" s="1"/>
    </row>
    <row r="36" spans="1:9" x14ac:dyDescent="0.25">
      <c r="A36" s="1"/>
      <c r="B36" s="37" t="s">
        <v>193</v>
      </c>
      <c r="C36" s="58"/>
      <c r="D36" s="58"/>
      <c r="E36" s="58"/>
      <c r="F36" s="59"/>
      <c r="G36" s="24">
        <f>SUM('Fane 2.1. Økonomisk ramme 2022'!C10)*(1+'Fane 12. Nøgletal'!C14)</f>
        <v>266736.82004332962</v>
      </c>
      <c r="H36" s="14" t="s">
        <v>3</v>
      </c>
      <c r="I36" s="1"/>
    </row>
    <row r="37" spans="1:9" x14ac:dyDescent="0.25">
      <c r="A37" s="1"/>
      <c r="B37" s="115" t="s">
        <v>222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150531.61232327003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1067867.2801207071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52498170.865110174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1049963.4173022036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51617986.532385737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1032359.7306477148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199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200</v>
      </c>
      <c r="C54" s="116"/>
      <c r="D54" s="116"/>
      <c r="E54" s="116"/>
      <c r="F54" s="117"/>
      <c r="G54" s="24">
        <f>(G48+G49-G50)*(1+'Fane 12. Nøgletal'!C14)</f>
        <v>50752559.370183766</v>
      </c>
      <c r="H54" s="14" t="s">
        <v>3</v>
      </c>
      <c r="I54" s="1"/>
    </row>
    <row r="55" spans="1:9" x14ac:dyDescent="0.25">
      <c r="A55" s="1"/>
      <c r="B55" s="115" t="s">
        <v>201</v>
      </c>
      <c r="C55" s="116"/>
      <c r="D55" s="116"/>
      <c r="E55" s="116"/>
      <c r="F55" s="117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202</v>
      </c>
      <c r="C56" s="116"/>
      <c r="D56" s="116"/>
      <c r="E56" s="116"/>
      <c r="F56" s="117"/>
      <c r="G56" s="24">
        <f>(G54+G55)*'Fane 12. Nøgletal'!C29</f>
        <v>1015051.1874036753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cJNxuM9HKXTy6R3aOKgn18KgI4qswJDE2VJQke2FXC52crLycLS2EQqGJkwrivfYdeqT+onO/3BqAja6kRGAig==" saltValue="nTFilfUGDQCuAN+wJ7IaRQ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49171908.551089495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447464.36781491444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49343244.624402165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449023.52608205972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49720533.43488171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-690723.493835876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96676.663678899975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427400.43346110516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49522100.72755798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46755.111254940006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432170.12148939469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49736153.283074863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71281.960994160007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1369704.4692118983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49028671.09031038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68716.412445615701</v>
      </c>
      <c r="H36" s="14" t="s">
        <v>3</v>
      </c>
      <c r="I36" s="38"/>
    </row>
    <row r="37" spans="1:9" x14ac:dyDescent="0.25">
      <c r="A37" s="1"/>
      <c r="B37" s="115" t="s">
        <v>194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578588.86685221014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1356851.5702129481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48409634.734626584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716462.59407247347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47850559.608617939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708188.28220754548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195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196</v>
      </c>
      <c r="C54" s="116"/>
      <c r="D54" s="116"/>
      <c r="E54" s="116"/>
      <c r="F54" s="117"/>
      <c r="G54" s="24">
        <f>(G48+G49-G50)*(1+'Fane 12. Nøgletal'!C14)</f>
        <v>47297941.151787549</v>
      </c>
      <c r="H54" s="14" t="s">
        <v>3</v>
      </c>
      <c r="I54" s="1"/>
    </row>
    <row r="55" spans="1:9" x14ac:dyDescent="0.25">
      <c r="A55" s="1"/>
      <c r="B55" s="115" t="s">
        <v>197</v>
      </c>
      <c r="C55" s="116"/>
      <c r="D55" s="116"/>
      <c r="E55" s="116"/>
      <c r="F55" s="117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198</v>
      </c>
      <c r="C56" s="116"/>
      <c r="D56" s="116"/>
      <c r="E56" s="116"/>
      <c r="F56" s="117"/>
      <c r="G56" s="24">
        <f>(G54+G55)*'Fane 12. Nøgletal'!C24</f>
        <v>700009.52904645575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TNvwFwUm2d19Z5IW9ixgPtHxMngA2dAWJst+J5/hYC4KAYobW5KIBxNoQlSq5t6tHOZ/3iXFAdeMmMWf4MB9Rg==" saltValue="CeR706kQ/qzq6kyUw++kzg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8.9860099023104326E-3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1.1662318352203119E-2</v>
      </c>
      <c r="H10" s="14"/>
      <c r="I10" s="1"/>
    </row>
    <row r="11" spans="1:9" x14ac:dyDescent="0.25">
      <c r="A11" s="1"/>
      <c r="B11" s="51"/>
      <c r="C11" s="52"/>
      <c r="D11" s="52"/>
      <c r="E11" s="52"/>
      <c r="F11" s="52"/>
      <c r="G11" s="52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7b8PdHGqqel9dFO3a1c17qwae0ojyKdM7wb1IFCgnCfW9C0JorcijXrURRQvwbMM6TqCSn8GQxN3dHTJkNKObw==" saltValue="rxK24A18Us1hYOc1VuxOP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2021-09-01T12:48:16Z</dcterms:modified>
</cp:coreProperties>
</file>