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erning Vand AS (S038)\ØR2024\"/>
    </mc:Choice>
  </mc:AlternateContent>
  <xr:revisionPtr revIDLastSave="0" documentId="13_ncr:1_{21F9C6FC-B014-4E36-9448-53A8911FA52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E17" i="43" l="1"/>
  <c r="E18" i="43"/>
  <c r="E26" i="43" l="1"/>
  <c r="E19" i="43"/>
  <c r="C9" i="2"/>
  <c r="E30" i="43" l="1"/>
  <c r="E32" i="43" s="1"/>
  <c r="E11" i="39"/>
  <c r="C11" i="39"/>
  <c r="C34" i="2" l="1"/>
  <c r="C20" i="15"/>
  <c r="E29" i="20"/>
  <c r="E23" i="20"/>
  <c r="E17" i="20"/>
  <c r="E11" i="20"/>
  <c r="E12" i="39" l="1"/>
  <c r="C12" i="39"/>
  <c r="C21" i="23" l="1"/>
  <c r="C21" i="22"/>
  <c r="C22" i="15"/>
  <c r="C36" i="2"/>
  <c r="F10" i="11" l="1"/>
  <c r="G18" i="41" l="1"/>
  <c r="C15" i="19" l="1"/>
  <c r="C16" i="19" s="1"/>
  <c r="J11" i="11"/>
  <c r="H11" i="11"/>
  <c r="C15" i="22" l="1"/>
  <c r="C15" i="23"/>
  <c r="C16" i="15"/>
  <c r="C22" i="2"/>
  <c r="C10" i="37" l="1"/>
  <c r="C30" i="37" s="1"/>
  <c r="C31" i="37" s="1"/>
  <c r="G7" i="30" l="1"/>
  <c r="G11" i="30" s="1"/>
  <c r="E30" i="20" l="1"/>
  <c r="E31" i="20" s="1"/>
  <c r="C17" i="23" l="1"/>
  <c r="C27" i="2"/>
  <c r="C29" i="2" s="1"/>
  <c r="C26" i="2"/>
  <c r="C28" i="2" s="1"/>
  <c r="E16" i="40" l="1"/>
  <c r="E12" i="40"/>
  <c r="C30" i="2" l="1"/>
  <c r="G33" i="36" l="1"/>
  <c r="G25" i="36"/>
  <c r="G32" i="36" s="1"/>
  <c r="G7" i="36"/>
  <c r="G11" i="36" s="1"/>
  <c r="G14" i="36" s="1"/>
  <c r="G18" i="36" l="1"/>
  <c r="G20" i="36" l="1"/>
  <c r="G24" i="36"/>
  <c r="G31" i="36" l="1"/>
  <c r="G35" i="36" s="1"/>
  <c r="G27" i="36"/>
  <c r="G39" i="36" l="1"/>
  <c r="G41" i="36" l="1"/>
  <c r="G45" i="36" s="1"/>
  <c r="F11" i="11" l="1"/>
  <c r="E10" i="37" s="1"/>
  <c r="E30" i="37" s="1"/>
  <c r="E31"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7" i="36" s="1"/>
  <c r="G59" i="30" l="1"/>
  <c r="C16" i="2"/>
  <c r="C17" i="2" s="1"/>
  <c r="C13" i="15"/>
  <c r="C19" i="2" l="1"/>
  <c r="C20" i="2" s="1"/>
  <c r="C39" i="2" s="1"/>
  <c r="G60" i="30"/>
  <c r="C12" i="15" s="1"/>
  <c r="G62" i="36" l="1"/>
  <c r="C12" i="22" s="1"/>
  <c r="G64" i="30"/>
  <c r="C9" i="15"/>
  <c r="C10" i="15" l="1"/>
  <c r="C11" i="15" s="1"/>
  <c r="C14" i="15" s="1"/>
  <c r="G65" i="30"/>
  <c r="C11" i="22" s="1"/>
  <c r="G67" i="36" l="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<sst xmlns="http://schemas.openxmlformats.org/spreadsheetml/2006/main" count="703" uniqueCount="319">
  <si>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</si>
  <si>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</si>
  <si>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</si>
  <si>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</si>
  <si>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</si>
  <si>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</si>
  <si>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</si>
  <si>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</si>
  <si>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</si>
  <si>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</si>
  <si>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</si>
  <si>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</si>
  <si>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</si>
  <si>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</si>
  <si>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</si>
  <si>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</si>
  <si>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</si>
  <si>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</si>
  <si>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</si>
  <si>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</si>
  <si>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</si>
  <si>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</si>
  <si>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</si>
  <si>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</si>
  <si>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</si>
  <si>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</si>
  <si>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</si>
  <si>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</si>
  <si>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</si>
  <si>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</si>
  <si>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</si>
  <si>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</si>
  <si>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</si>
  <si>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</si>
  <si>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</si>
  <si>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</si>
  <si>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</si>
  <si>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</si>
  <si>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</si>
  <si>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</si>
  <si>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</si>
  <si>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</si>
  <si>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</si>
  <si>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</si>
  <si>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</si>
  <si>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</si>
  <si>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</si>
  <si>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</si>
  <si>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</si>
  <si>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</si>
  <si>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</si>
  <si>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</si>
  <si>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</si>
  <si>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</si>
  <si>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</si>
  <si>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</si>
  <si>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</si>
  <si>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</si>
  <si>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</si>
  <si>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</si>
  <si>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</si>
  <si>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</si>
  <si>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</si>
  <si>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</si>
  <si>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</si>
  <si>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</si>
  <si>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</si>
  <si>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</si>
  <si>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</si>
  <si>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</si>
  <si>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</si>
  <si>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</si>
  <si>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</si>
  <si>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</si>
  <si>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</si>
  <si>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</si>
  <si>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</si>
  <si>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</si>
  <si>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</si>
  <si>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</si>
  <si>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</si>
  <si>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</si>
  <si>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</si>
  <si>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</si>
  <si>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</si>
  <si>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</si>
  <si>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</si>
  <si>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</si>
  <si>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</si>
  <si>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</si>
  <si>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</si>
  <si>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</si>
  <si>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</si>
  <si>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</si>
  <si>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</si>
  <si>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</si>
  <si>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</si>
  <si>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</si>
  <si>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</si>
  <si>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</si>
  <si>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</si>
  <si>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</si>
  <si>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</si>
  <si>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</si>
  <si>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</si>
  <si>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</si>
  <si>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</si>
  <si>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</si>
  <si>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</si>
  <si>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</si>
  <si>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</si>
  <si>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</si>
  <si>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</si>
  <si>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</si>
  <si>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</si>
  <si>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</si>
  <si>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</si>
  <si>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</si>
  <si>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</si>
  <si>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</si>
  <si>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</si>
  <si>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</si>
  <si>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</si>
  <si>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</si>
  <si>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</si>
  <si>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</si>
  <si>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</si>
  <si>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</si>
  <si>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</si>
  <si>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</si>
  <si>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</si>
  <si>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</si>
  <si>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</si>
  <si>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</si>
  <si>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</si>
  <si>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</si>
  <si>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</si>
  <si>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</si>
  <si>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</si>
  <si>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</si>
  <si>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</si>
  <si>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</si>
  <si>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</si>
  <si>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</si>
  <si>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</si>
  <si>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</si>
  <si>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</si>
  <si>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</si>
  <si>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</si>
  <si>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</si>
  <si>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</si>
  <si>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</si>
  <si>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</si>
  <si>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</si>
  <si>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</si>
  <si>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</si>
  <si>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</si>
  <si>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</si>
  <si>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</si>
  <si>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</si>
  <si>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</si>
  <si>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</si>
  <si>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</si>
  <si>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</si>
  <si>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</si>
  <si>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</si>
  <si>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</si>
  <si>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</si>
  <si>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</si>
  <si>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</si>
  <si>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</si>
  <si>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</si>
  <si>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</si>
  <si>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</si>
  <si>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</si>
  <si>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</si>
  <si>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</si>
  <si>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</si>
  <si>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</si>
  <si>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</si>
  <si>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</si>
  <si>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</si>
  <si>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</si>
  <si>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</si>
  <si>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</si>
  <si>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</si>
  <si>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</si>
  <si>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</si>
  <si>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</si>
  <si>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</si>
  <si>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</si>
  <si>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</si>
  <si>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</si>
  <si>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</si>
  <si>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</si>
  <si>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</si>
  <si>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</si>
  <si>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</si>
  <si>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</si>
  <si>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</si>
  <si>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</si>
  <si>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</si>
  <si>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</si>
  <si>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</si>
  <si>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</si>
  <si>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</si>
  <si>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</si>
  <si>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</si>
  <si>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</si>
  <si>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</si>
  <si>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</si>
  <si>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</si>
  <si>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</si>
  <si>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</si>
  <si>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</si>
  <si>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</si>
  <si>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</si>
  <si>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</si>
  <si>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</si>
  <si>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</si>
  <si>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</si>
  <si>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</si>
  <si>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</si>
  <si>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</si>
  <si>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</si>
  <si>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</si>
  <si>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</si>
  <si>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</si>
  <si>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</si>
  <si>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</si>
  <si>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</si>
  <si>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</si>
  <si>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</si>
  <si>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</si>
  <si>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</si>
  <si>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</si>
  <si>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</si>
  <si>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</si>
  <si>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</si>
  <si>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</si>
  <si>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</si>
  <si>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</si>
  <si>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</si>
  <si>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</si>
  <si>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</si>
  <si>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</si>
  <si>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</si>
  <si>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</si>
  <si>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</si>
  <si>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</si>
  <si>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</si>
  <si>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</si>
  <si>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</si>
  <si>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</si>
  <si>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</si>
  <si>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</si>
  <si>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</si>
  <si>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</si>
  <si>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</si>
  <si>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</si>
  <si>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</si>
  <si>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</si>
  <si>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</si>
  <si>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</si>
  <si>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</si>
  <si>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</si>
  <si>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</si>
  <si>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</si>
  <si>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</si>
  <si>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</si>
  <si>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</si>
  <si>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</si>
  <si>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</si>
  <si>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</si>
  <si>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</si>
  <si>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</si>
  <si>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</si>
  <si>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</si>
  <si>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</si>
  <si>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</si>
  <si>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</si>
  <si>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</si>
  <si>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Erstatninger</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</si>
  <si>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</si>
  <si>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</si>
  <si>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</si>
  <si>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</si>
  <si>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</si>
  <si>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</si>
  <si>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</si>
  <si>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</si>
  <si>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</si>
  <si>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</si>
  <si>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</si>
  <si>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</si>
  <si>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</si>
  <si>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</si>
  <si>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</si>
  <si>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</si>
  <si>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</si>
  <si>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</si>
  <si>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SALENY0003 Overpumpning Haderup - Aulum og Sørvad - Aulum</t>
  </si>
  <si>
    <t>SALERE0067 Hovedgaden Ørnhøj</t>
  </si>
  <si>
    <t>SABYGM0051 Jordbærmarken</t>
  </si>
  <si>
    <t>SABYGM0060 Nordmarken, Sunds 1. etape</t>
  </si>
  <si>
    <t>SABYGM0072 Vesterdamsvængeet Lind</t>
  </si>
  <si>
    <t>SABYGM0088 Rønnebakken Ø</t>
  </si>
  <si>
    <t>SABYGM0089 Div. byggemodninger u. 200.000 2022</t>
  </si>
  <si>
    <t>SABYGM0090 Solvang Ørnhøj</t>
  </si>
  <si>
    <t>SABYGM0091 Bitsovvej Hammerum</t>
  </si>
  <si>
    <t>SABYGM0100 Vestergade 92 udvidelse af plejehjem</t>
  </si>
  <si>
    <t>SABYGM0101 Fuglsang Holm etape 2</t>
  </si>
  <si>
    <t>SABYM0082 Helstrupvænget etape 2</t>
  </si>
  <si>
    <t>SABYM0085 Søbakken Sunds</t>
  </si>
  <si>
    <t>SABYM0086 Tvedbækparken</t>
  </si>
  <si>
    <t>SABYMO0077 Majsvænget</t>
  </si>
  <si>
    <t>Oprensning af regnvandsbassiner</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</si>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</sst>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10" fontId="16" fillId="0" borderId="1" xfId="4" applyNumberFormat="1" applyFont="1" applyFill="1" applyBorder="1" applyProtection="1"/>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3" t="s">
        <v>250</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104" t="s">
        <v>219</v>
      </c>
      <c r="E13" s="105"/>
      <c r="F13" s="105"/>
      <c r="G13" s="106"/>
      <c r="H13" s="1"/>
      <c r="I13" s="1"/>
    </row>
    <row r="14" spans="1:9" x14ac:dyDescent="0.25">
      <c r="A14" s="1"/>
      <c r="B14" s="1"/>
      <c r="C14" s="6" t="s">
        <v>16</v>
      </c>
      <c r="D14" s="104" t="s">
        <v>223</v>
      </c>
      <c r="E14" s="105"/>
      <c r="F14" s="105"/>
      <c r="G14" s="106"/>
      <c r="H14" s="1"/>
      <c r="I14" s="1"/>
    </row>
    <row r="15" spans="1:9" x14ac:dyDescent="0.25">
      <c r="A15" s="1"/>
      <c r="B15" s="1"/>
      <c r="C15" s="6" t="s">
        <v>32</v>
      </c>
      <c r="D15" s="104" t="s">
        <v>267</v>
      </c>
      <c r="E15" s="105"/>
      <c r="F15" s="105"/>
      <c r="G15" s="106"/>
      <c r="H15" s="1"/>
      <c r="I15" s="1"/>
    </row>
    <row r="16" spans="1:9" x14ac:dyDescent="0.25">
      <c r="A16" s="1"/>
      <c r="B16" s="1"/>
      <c r="C16" s="6" t="s">
        <v>33</v>
      </c>
      <c r="D16" s="104" t="s">
        <v>268</v>
      </c>
      <c r="E16" s="105"/>
      <c r="F16" s="105"/>
      <c r="G16" s="106"/>
      <c r="H16" s="1"/>
      <c r="I16" s="1"/>
    </row>
    <row r="17" spans="1:9" x14ac:dyDescent="0.25">
      <c r="A17" s="1"/>
      <c r="B17" s="1"/>
      <c r="C17" s="6" t="s">
        <v>100</v>
      </c>
      <c r="D17" s="104" t="s">
        <v>220</v>
      </c>
      <c r="E17" s="105"/>
      <c r="F17" s="105"/>
      <c r="G17" s="106"/>
      <c r="H17" s="1"/>
      <c r="I17" s="1"/>
    </row>
    <row r="18" spans="1:9" x14ac:dyDescent="0.25">
      <c r="A18" s="1"/>
      <c r="B18" s="1"/>
      <c r="C18" s="6" t="s">
        <v>85</v>
      </c>
      <c r="D18" s="107" t="s">
        <v>75</v>
      </c>
      <c r="E18" s="108"/>
      <c r="F18" s="108"/>
      <c r="G18" s="109"/>
      <c r="H18" s="1"/>
      <c r="I18" s="1"/>
    </row>
    <row r="19" spans="1:9" x14ac:dyDescent="0.25">
      <c r="A19" s="1"/>
      <c r="B19" s="1"/>
      <c r="C19" s="6" t="s">
        <v>86</v>
      </c>
      <c r="D19" s="107" t="s">
        <v>76</v>
      </c>
      <c r="E19" s="108"/>
      <c r="F19" s="108"/>
      <c r="G19" s="109"/>
      <c r="H19" s="1"/>
      <c r="I19" s="1"/>
    </row>
    <row r="20" spans="1:9" x14ac:dyDescent="0.25">
      <c r="A20" s="1"/>
      <c r="B20" s="1"/>
      <c r="C20" s="6" t="s">
        <v>7</v>
      </c>
      <c r="D20" s="107" t="s">
        <v>10</v>
      </c>
      <c r="E20" s="108"/>
      <c r="F20" s="108"/>
      <c r="G20" s="109"/>
      <c r="H20" s="1"/>
      <c r="I20" s="1"/>
    </row>
    <row r="21" spans="1:9" x14ac:dyDescent="0.25">
      <c r="A21" s="1"/>
      <c r="B21" s="1"/>
      <c r="C21" s="6" t="s">
        <v>87</v>
      </c>
      <c r="D21" s="113" t="s">
        <v>12</v>
      </c>
      <c r="E21" s="114"/>
      <c r="F21" s="114"/>
      <c r="G21" s="115"/>
      <c r="H21" s="1"/>
      <c r="I21" s="1"/>
    </row>
    <row r="22" spans="1:9" x14ac:dyDescent="0.25">
      <c r="A22" s="1"/>
      <c r="B22" s="1"/>
      <c r="C22" s="6" t="s">
        <v>67</v>
      </c>
      <c r="D22" s="99" t="s">
        <v>221</v>
      </c>
      <c r="E22" s="100"/>
      <c r="F22" s="100"/>
      <c r="G22" s="101"/>
      <c r="H22" s="1"/>
      <c r="I22" s="1"/>
    </row>
    <row r="23" spans="1:9" x14ac:dyDescent="0.25">
      <c r="A23" s="1"/>
      <c r="B23" s="1"/>
      <c r="C23" s="6" t="s">
        <v>8</v>
      </c>
      <c r="D23" s="99" t="s">
        <v>192</v>
      </c>
      <c r="E23" s="100"/>
      <c r="F23" s="100"/>
      <c r="G23" s="101"/>
      <c r="H23" s="1"/>
      <c r="I23" s="1"/>
    </row>
    <row r="24" spans="1:9" x14ac:dyDescent="0.25">
      <c r="A24" s="1"/>
      <c r="B24" s="1"/>
      <c r="C24" s="6" t="s">
        <v>9</v>
      </c>
      <c r="D24" s="99" t="s">
        <v>222</v>
      </c>
      <c r="E24" s="100"/>
      <c r="F24" s="100"/>
      <c r="G24" s="101"/>
      <c r="H24" s="1"/>
      <c r="I24" s="1"/>
    </row>
    <row r="25" spans="1:9" x14ac:dyDescent="0.25">
      <c r="A25" s="1"/>
      <c r="B25" s="1"/>
      <c r="C25" s="6" t="s">
        <v>212</v>
      </c>
      <c r="D25" s="99" t="s">
        <v>187</v>
      </c>
      <c r="E25" s="100"/>
      <c r="F25" s="100"/>
      <c r="G25" s="101"/>
      <c r="H25" s="1"/>
      <c r="I25" s="1"/>
    </row>
    <row r="26" spans="1:9" x14ac:dyDescent="0.25">
      <c r="A26" s="1"/>
      <c r="B26" s="1"/>
      <c r="C26" s="6" t="s">
        <v>213</v>
      </c>
      <c r="D26" s="99" t="s">
        <v>68</v>
      </c>
      <c r="E26" s="100"/>
      <c r="F26" s="100"/>
      <c r="G26" s="101"/>
      <c r="H26" s="1"/>
      <c r="I26" s="1"/>
    </row>
    <row r="27" spans="1:9" x14ac:dyDescent="0.25">
      <c r="A27" s="1"/>
      <c r="B27" s="1"/>
      <c r="C27" s="6" t="s">
        <v>214</v>
      </c>
      <c r="D27" s="99" t="s">
        <v>69</v>
      </c>
      <c r="E27" s="100"/>
      <c r="F27" s="100"/>
      <c r="G27" s="101"/>
      <c r="H27" s="1"/>
      <c r="I27" s="1"/>
    </row>
    <row r="28" spans="1:9" x14ac:dyDescent="0.25">
      <c r="A28" s="1"/>
      <c r="B28" s="1"/>
      <c r="C28" s="6" t="s">
        <v>15</v>
      </c>
      <c r="D28" s="99" t="s">
        <v>70</v>
      </c>
      <c r="E28" s="100"/>
      <c r="F28" s="100"/>
      <c r="G28" s="101"/>
      <c r="H28" s="1"/>
      <c r="I28" s="1"/>
    </row>
    <row r="29" spans="1:9" x14ac:dyDescent="0.25">
      <c r="A29" s="1"/>
      <c r="B29" s="1"/>
      <c r="C29" s="6" t="s">
        <v>35</v>
      </c>
      <c r="D29" s="99" t="s">
        <v>103</v>
      </c>
      <c r="E29" s="100"/>
      <c r="F29" s="100"/>
      <c r="G29" s="101"/>
      <c r="H29" s="1"/>
      <c r="I29" s="1"/>
    </row>
    <row r="30" spans="1:9" x14ac:dyDescent="0.25">
      <c r="A30" s="1"/>
      <c r="B30" s="1"/>
      <c r="C30" s="6" t="s">
        <v>36</v>
      </c>
      <c r="D30" s="99" t="s">
        <v>34</v>
      </c>
      <c r="E30" s="100"/>
      <c r="F30" s="100"/>
      <c r="G30" s="101"/>
      <c r="H30" s="1"/>
      <c r="I30" s="1"/>
    </row>
    <row r="31" spans="1:9" x14ac:dyDescent="0.25">
      <c r="A31" s="1"/>
      <c r="B31" s="1"/>
      <c r="C31" s="6" t="s">
        <v>215</v>
      </c>
      <c r="D31" s="110" t="s">
        <v>84</v>
      </c>
      <c r="E31" s="111"/>
      <c r="F31" s="111"/>
      <c r="G31" s="11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rZYbYHmyY9noPvBuZxITUxOeh//Klw7L7O30++Hl/uJjNJp0lD6D4aEpqaXNA967nVrp5RVIWLsoqEPvhZohIA==" saltValue="uiCN8MqdVKHIcXuElemoFg=="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88</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7" t="s">
        <v>258</v>
      </c>
      <c r="C8" s="138"/>
      <c r="D8" s="139"/>
      <c r="E8" s="1"/>
      <c r="F8" s="1"/>
    </row>
    <row r="9" spans="1:6" ht="15" customHeight="1" x14ac:dyDescent="0.25">
      <c r="A9" s="1"/>
      <c r="B9" s="33" t="s">
        <v>30</v>
      </c>
      <c r="C9" s="11" t="s">
        <v>188</v>
      </c>
      <c r="D9" s="11"/>
      <c r="E9" s="1"/>
      <c r="F9" s="1"/>
    </row>
    <row r="10" spans="1:6" ht="15" customHeight="1" x14ac:dyDescent="0.25">
      <c r="A10" s="1"/>
      <c r="B10" s="51" t="s">
        <v>279</v>
      </c>
      <c r="C10" s="9">
        <v>123492</v>
      </c>
      <c r="D10" s="14" t="s">
        <v>3</v>
      </c>
      <c r="E10" s="1"/>
      <c r="F10" s="1"/>
    </row>
    <row r="11" spans="1:6" ht="26.25" x14ac:dyDescent="0.25">
      <c r="A11" s="1"/>
      <c r="B11" s="68" t="s">
        <v>280</v>
      </c>
      <c r="C11" s="9">
        <v>43332748.810000002</v>
      </c>
      <c r="D11" s="14" t="s">
        <v>3</v>
      </c>
      <c r="E11" s="1"/>
      <c r="F11" s="1"/>
    </row>
    <row r="12" spans="1:6" x14ac:dyDescent="0.25">
      <c r="A12" s="1"/>
      <c r="B12" s="51" t="s">
        <v>281</v>
      </c>
      <c r="C12" s="9">
        <v>95058</v>
      </c>
      <c r="D12" s="14" t="s">
        <v>3</v>
      </c>
      <c r="E12" s="1"/>
      <c r="F12" s="1"/>
    </row>
    <row r="13" spans="1:6" x14ac:dyDescent="0.25">
      <c r="A13" s="1"/>
      <c r="B13" s="51" t="s">
        <v>282</v>
      </c>
      <c r="C13" s="9">
        <v>563355.24</v>
      </c>
      <c r="D13" s="14" t="s">
        <v>3</v>
      </c>
      <c r="E13" s="1"/>
      <c r="F13" s="1"/>
    </row>
    <row r="14" spans="1:6" x14ac:dyDescent="0.25">
      <c r="A14" s="1"/>
      <c r="B14" s="51"/>
      <c r="C14" s="9"/>
      <c r="D14" s="14" t="s">
        <v>3</v>
      </c>
      <c r="E14" s="1"/>
      <c r="F14" s="1"/>
    </row>
    <row r="15" spans="1:6" x14ac:dyDescent="0.25">
      <c r="A15" s="1"/>
      <c r="B15" s="30" t="s">
        <v>259</v>
      </c>
      <c r="C15" s="12">
        <f>SUM(C10:C14)</f>
        <v>44114654.050000004</v>
      </c>
      <c r="D15" s="13" t="s">
        <v>3</v>
      </c>
      <c r="E15" s="1"/>
      <c r="F15" s="1"/>
    </row>
    <row r="16" spans="1:6" x14ac:dyDescent="0.25">
      <c r="A16" s="1"/>
      <c r="B16" s="30" t="s">
        <v>260</v>
      </c>
      <c r="C16" s="12">
        <f>C15*(1+'Fane 15. Nøgletal'!C16)^2</f>
        <v>51531590.839496993</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7" t="s">
        <v>96</v>
      </c>
      <c r="C19" s="138"/>
      <c r="D19" s="139"/>
      <c r="E19" s="1"/>
      <c r="F19" s="1"/>
    </row>
    <row r="20" spans="1:6" x14ac:dyDescent="0.25">
      <c r="A20" s="1"/>
      <c r="B20" s="51" t="s">
        <v>216</v>
      </c>
      <c r="C20" s="9">
        <v>159201</v>
      </c>
      <c r="D20" s="14" t="s">
        <v>3</v>
      </c>
      <c r="E20" s="1"/>
      <c r="F20" s="1"/>
    </row>
    <row r="21" spans="1:6" x14ac:dyDescent="0.25">
      <c r="A21" s="1"/>
      <c r="B21" s="51" t="s">
        <v>217</v>
      </c>
      <c r="C21" s="9">
        <v>162383</v>
      </c>
      <c r="D21" s="14" t="s">
        <v>3</v>
      </c>
      <c r="E21" s="1"/>
      <c r="F21" s="1"/>
    </row>
    <row r="22" spans="1:6" x14ac:dyDescent="0.25">
      <c r="A22" s="1"/>
      <c r="B22" s="51" t="s">
        <v>218</v>
      </c>
      <c r="C22" s="9">
        <v>165632</v>
      </c>
      <c r="D22" s="14" t="s">
        <v>3</v>
      </c>
      <c r="E22" s="1"/>
      <c r="F22" s="1"/>
    </row>
    <row r="23" spans="1:6" x14ac:dyDescent="0.25">
      <c r="A23" s="1"/>
      <c r="B23" s="26" t="s">
        <v>257</v>
      </c>
      <c r="C23" s="9">
        <v>168946</v>
      </c>
      <c r="D23" s="14" t="s">
        <v>3</v>
      </c>
      <c r="E23" s="1"/>
      <c r="F23" s="1"/>
    </row>
    <row r="24" spans="1:6" x14ac:dyDescent="0.25">
      <c r="A24" s="1"/>
      <c r="B24" s="137"/>
      <c r="C24" s="138"/>
      <c r="D24" s="139"/>
      <c r="E24" s="1"/>
      <c r="F24" s="1"/>
    </row>
    <row r="25" spans="1:6" x14ac:dyDescent="0.25">
      <c r="A25" s="1"/>
      <c r="B25" s="1"/>
      <c r="C25" s="1"/>
      <c r="D25" s="1"/>
      <c r="E25" s="1"/>
      <c r="F25" s="1"/>
    </row>
    <row r="26" spans="1:6" x14ac:dyDescent="0.25">
      <c r="A26" s="1"/>
      <c r="B26" s="1"/>
      <c r="C26" s="1"/>
      <c r="D26" s="1"/>
      <c r="E26" s="1"/>
      <c r="F26" s="1"/>
    </row>
    <row r="27" spans="1:6" x14ac:dyDescent="0.25">
      <c r="A27" s="1"/>
      <c r="B27" s="137" t="s">
        <v>78</v>
      </c>
      <c r="C27" s="138"/>
      <c r="D27" s="139"/>
      <c r="E27" s="1"/>
      <c r="F27" s="1"/>
    </row>
    <row r="28" spans="1:6" x14ac:dyDescent="0.25">
      <c r="A28" s="1"/>
      <c r="B28" s="51" t="s">
        <v>216</v>
      </c>
      <c r="C28" s="9">
        <v>2287144</v>
      </c>
      <c r="D28" s="14" t="s">
        <v>3</v>
      </c>
      <c r="E28" s="1"/>
      <c r="F28" s="1"/>
    </row>
    <row r="29" spans="1:6" x14ac:dyDescent="0.25">
      <c r="A29" s="1"/>
      <c r="B29" s="51" t="s">
        <v>217</v>
      </c>
      <c r="C29" s="9">
        <v>2287144</v>
      </c>
      <c r="D29" s="14" t="s">
        <v>3</v>
      </c>
      <c r="E29" s="1"/>
      <c r="F29" s="1"/>
    </row>
    <row r="30" spans="1:6" x14ac:dyDescent="0.25">
      <c r="A30" s="1"/>
      <c r="B30" s="51" t="s">
        <v>218</v>
      </c>
      <c r="C30" s="9">
        <v>2287144</v>
      </c>
      <c r="D30" s="14" t="s">
        <v>3</v>
      </c>
      <c r="E30" s="1"/>
      <c r="F30" s="1"/>
    </row>
    <row r="31" spans="1:6" x14ac:dyDescent="0.25">
      <c r="A31" s="1"/>
      <c r="B31" s="26" t="s">
        <v>257</v>
      </c>
      <c r="C31" s="9">
        <v>2287143</v>
      </c>
      <c r="D31" s="14" t="s">
        <v>3</v>
      </c>
      <c r="E31" s="1"/>
      <c r="F31" s="1"/>
    </row>
    <row r="32" spans="1:6" x14ac:dyDescent="0.25">
      <c r="A32" s="1"/>
      <c r="B32" s="137"/>
      <c r="C32" s="138"/>
      <c r="D32" s="139"/>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9"/>
      <c r="B50" s="39"/>
      <c r="C50" s="39"/>
      <c r="D50" s="39"/>
      <c r="E50" s="39"/>
      <c r="F50" s="39"/>
    </row>
    <row r="51" spans="1:6" x14ac:dyDescent="0.25">
      <c r="A51" s="39"/>
      <c r="B51" s="39"/>
      <c r="C51" s="39"/>
      <c r="D51" s="39"/>
      <c r="E51" s="39"/>
      <c r="F51" s="39"/>
    </row>
  </sheetData>
  <sheetProtection algorithmName="SHA-512" hashValue="19SRnKz1gCwmYIFdI4qsTMod4vsBLwUMpgwFl8c94lbT4dtlcieN1YD4NIwTe3vCcv/mtSQWcQ95hZHzntq5Wg==" saltValue="9oPDzFpjuk1A7a+qo/i3NA=="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9C5D-CB9A-4A50-9CB0-F9CC94528909}">
  <dimension ref="A1:G54"/>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289</v>
      </c>
      <c r="C3" s="122"/>
      <c r="D3" s="122"/>
      <c r="E3" s="122"/>
      <c r="F3" s="122"/>
      <c r="G3" s="1"/>
    </row>
    <row r="4" spans="1:7" ht="15" customHeight="1" x14ac:dyDescent="0.25">
      <c r="A4" s="1"/>
      <c r="B4" s="122"/>
      <c r="C4" s="122"/>
      <c r="D4" s="122"/>
      <c r="E4" s="122"/>
      <c r="F4" s="122"/>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3.5" customHeight="1" x14ac:dyDescent="0.25">
      <c r="A7" s="1"/>
      <c r="B7" s="1"/>
      <c r="C7" s="1"/>
      <c r="D7" s="1"/>
      <c r="E7" s="1"/>
      <c r="F7" s="1"/>
      <c r="G7" s="1"/>
    </row>
    <row r="8" spans="1:7" x14ac:dyDescent="0.25">
      <c r="A8" s="1"/>
      <c r="B8" s="137" t="s">
        <v>159</v>
      </c>
      <c r="C8" s="138"/>
      <c r="D8" s="138"/>
      <c r="E8" s="138"/>
      <c r="F8" s="139"/>
      <c r="G8" s="1"/>
    </row>
    <row r="9" spans="1:7" x14ac:dyDescent="0.25">
      <c r="A9" s="1"/>
      <c r="B9" s="144" t="s">
        <v>160</v>
      </c>
      <c r="C9" s="145"/>
      <c r="D9" s="146"/>
      <c r="E9" s="9">
        <v>39673171</v>
      </c>
      <c r="F9" s="14" t="s">
        <v>3</v>
      </c>
      <c r="G9" s="1"/>
    </row>
    <row r="10" spans="1:7" x14ac:dyDescent="0.25">
      <c r="A10" s="1"/>
      <c r="B10" s="144" t="s">
        <v>161</v>
      </c>
      <c r="C10" s="145"/>
      <c r="D10" s="146"/>
      <c r="E10" s="9">
        <v>8334572</v>
      </c>
      <c r="F10" s="14" t="s">
        <v>3</v>
      </c>
      <c r="G10" s="1"/>
    </row>
    <row r="11" spans="1:7" x14ac:dyDescent="0.25">
      <c r="A11" s="1"/>
      <c r="B11" s="144" t="s">
        <v>172</v>
      </c>
      <c r="C11" s="145"/>
      <c r="D11" s="146"/>
      <c r="E11" s="9">
        <v>14327496</v>
      </c>
      <c r="F11" s="14" t="s">
        <v>3</v>
      </c>
      <c r="G11" s="1"/>
    </row>
    <row r="12" spans="1:7" x14ac:dyDescent="0.25">
      <c r="A12" s="1"/>
      <c r="B12" s="144" t="s">
        <v>290</v>
      </c>
      <c r="C12" s="145"/>
      <c r="D12" s="146"/>
      <c r="E12" s="9">
        <v>1813983</v>
      </c>
      <c r="F12" s="14" t="s">
        <v>3</v>
      </c>
      <c r="G12" s="1"/>
    </row>
    <row r="13" spans="1:7" x14ac:dyDescent="0.25">
      <c r="A13" s="1"/>
      <c r="B13" s="30"/>
      <c r="C13" s="31"/>
      <c r="D13" s="31"/>
      <c r="E13" s="31"/>
      <c r="F13" s="19"/>
      <c r="G13" s="1"/>
    </row>
    <row r="14" spans="1:7" ht="42.75" customHeight="1" x14ac:dyDescent="0.25">
      <c r="A14" s="1"/>
      <c r="B14" s="150" t="s">
        <v>291</v>
      </c>
      <c r="C14" s="151"/>
      <c r="D14" s="151"/>
      <c r="E14" s="151"/>
      <c r="F14" s="152"/>
      <c r="G14" s="1"/>
    </row>
    <row r="15" spans="1:7" x14ac:dyDescent="0.25">
      <c r="A15" s="1"/>
      <c r="B15" s="1"/>
      <c r="C15" s="1"/>
      <c r="D15" s="1"/>
      <c r="E15" s="1"/>
      <c r="F15" s="1"/>
      <c r="G15" s="1"/>
    </row>
    <row r="16" spans="1:7" x14ac:dyDescent="0.25">
      <c r="A16" s="1"/>
      <c r="B16" s="82" t="s">
        <v>292</v>
      </c>
      <c r="C16" s="83"/>
      <c r="D16" s="83"/>
      <c r="E16" s="83"/>
      <c r="F16" s="84"/>
      <c r="G16" s="1"/>
    </row>
    <row r="17" spans="1:7" x14ac:dyDescent="0.25">
      <c r="A17" s="1"/>
      <c r="B17" s="85" t="s">
        <v>293</v>
      </c>
      <c r="C17" s="86"/>
      <c r="D17" s="87"/>
      <c r="E17" s="9">
        <f>IF(E12&lt;0,E12,0)</f>
        <v>0</v>
      </c>
      <c r="F17" s="14" t="s">
        <v>3</v>
      </c>
      <c r="G17" s="1"/>
    </row>
    <row r="18" spans="1:7" x14ac:dyDescent="0.25">
      <c r="A18" s="1"/>
      <c r="B18" s="85" t="s">
        <v>294</v>
      </c>
      <c r="C18" s="86"/>
      <c r="D18" s="87"/>
      <c r="E18" s="9">
        <f>IF(SUM(E9:E11)&gt;0,SUM(E9:E11),0)</f>
        <v>62335239</v>
      </c>
      <c r="F18" s="14" t="s">
        <v>3</v>
      </c>
      <c r="G18" s="1"/>
    </row>
    <row r="19" spans="1:7" x14ac:dyDescent="0.25">
      <c r="A19" s="1"/>
      <c r="B19" s="88" t="s">
        <v>295</v>
      </c>
      <c r="C19" s="89"/>
      <c r="D19" s="90"/>
      <c r="E19" s="73">
        <f>IF(SUM(E17:E18)&gt;0,0,SUM(E17:E18))</f>
        <v>0</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2" t="s">
        <v>296</v>
      </c>
      <c r="C22" s="83"/>
      <c r="D22" s="83"/>
      <c r="E22" s="83"/>
      <c r="F22" s="84"/>
      <c r="G22" s="1"/>
    </row>
    <row r="23" spans="1:7" x14ac:dyDescent="0.25">
      <c r="A23" s="1"/>
      <c r="B23" s="85" t="s">
        <v>297</v>
      </c>
      <c r="C23" s="86"/>
      <c r="D23" s="87"/>
      <c r="E23" s="9">
        <v>147791442</v>
      </c>
      <c r="F23" s="14" t="s">
        <v>3</v>
      </c>
      <c r="G23" s="1"/>
    </row>
    <row r="24" spans="1:7" x14ac:dyDescent="0.25">
      <c r="A24" s="1"/>
      <c r="B24" s="85" t="s">
        <v>298</v>
      </c>
      <c r="C24" s="86"/>
      <c r="D24" s="87"/>
      <c r="E24" s="9">
        <v>148746641.27000001</v>
      </c>
      <c r="F24" s="14" t="s">
        <v>3</v>
      </c>
      <c r="G24" s="1"/>
    </row>
    <row r="25" spans="1:7" x14ac:dyDescent="0.25">
      <c r="A25" s="1"/>
      <c r="B25" s="85" t="s">
        <v>31</v>
      </c>
      <c r="C25" s="86"/>
      <c r="D25" s="87"/>
      <c r="E25" s="9">
        <v>0</v>
      </c>
      <c r="F25" s="14" t="s">
        <v>3</v>
      </c>
      <c r="G25" s="1"/>
    </row>
    <row r="26" spans="1:7" x14ac:dyDescent="0.25">
      <c r="A26" s="1"/>
      <c r="B26" s="88" t="s">
        <v>299</v>
      </c>
      <c r="C26" s="89"/>
      <c r="D26" s="90"/>
      <c r="E26" s="73">
        <f>E23-E24-E25</f>
        <v>-955199.27000001073</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7" t="s">
        <v>300</v>
      </c>
      <c r="C29" s="138"/>
      <c r="D29" s="138"/>
      <c r="E29" s="138"/>
      <c r="F29" s="139"/>
      <c r="G29" s="1"/>
    </row>
    <row r="30" spans="1:7" x14ac:dyDescent="0.25">
      <c r="A30" s="1"/>
      <c r="B30" s="153" t="s">
        <v>119</v>
      </c>
      <c r="C30" s="154"/>
      <c r="D30" s="155"/>
      <c r="E30" s="9">
        <f>IF(E19&lt;0,IF(E26&lt;0,SUM(E19,E26),IF(E11&gt;0,SUM(E11:E12),E19)),IF(AND(E26&lt;0,SUM(E26,E12)&lt;0),IF(SUM(E9:E12)&lt;0,E26,E26),IF(AND(E26&lt;0,SUM(E9:E12)&lt;0),E26,0)))</f>
        <v>0</v>
      </c>
      <c r="F30" s="14" t="s">
        <v>3</v>
      </c>
      <c r="G30" s="1"/>
    </row>
    <row r="31" spans="1:7" x14ac:dyDescent="0.25">
      <c r="A31" s="1"/>
      <c r="B31" s="153" t="s">
        <v>81</v>
      </c>
      <c r="C31" s="154"/>
      <c r="D31" s="155"/>
      <c r="E31" s="9">
        <v>2</v>
      </c>
      <c r="F31" s="14" t="s">
        <v>20</v>
      </c>
      <c r="G31" s="1"/>
    </row>
    <row r="32" spans="1:7" x14ac:dyDescent="0.25">
      <c r="A32" s="1"/>
      <c r="B32" s="156" t="s">
        <v>121</v>
      </c>
      <c r="C32" s="157"/>
      <c r="D32" s="158"/>
      <c r="E32" s="10">
        <f>E30/E31</f>
        <v>0</v>
      </c>
      <c r="F32" s="17" t="s">
        <v>3</v>
      </c>
      <c r="G32" s="1"/>
    </row>
    <row r="33" spans="1:7" x14ac:dyDescent="0.25">
      <c r="A33" s="1"/>
      <c r="B33" s="147"/>
      <c r="C33" s="148"/>
      <c r="D33" s="148"/>
      <c r="E33" s="148"/>
      <c r="F33" s="149"/>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c3YIDyqvlxP1wUhoG0K8j4V79OwOHq/B+h24VlTMJaNRpACgQy0g5qsoPCOBI2bTI28dsRtPMu56awRxSlNI7Q==" saltValue="ZhiR1R1Fw7ApBRAXb+LGUw=="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193</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7" t="s">
        <v>194</v>
      </c>
      <c r="C8" s="138"/>
      <c r="D8" s="138"/>
      <c r="E8" s="138"/>
      <c r="F8" s="138"/>
      <c r="G8" s="138"/>
      <c r="H8" s="139"/>
      <c r="I8" s="1"/>
    </row>
    <row r="9" spans="1:9" ht="15" customHeight="1" x14ac:dyDescent="0.25">
      <c r="A9" s="1"/>
      <c r="B9" s="159" t="s">
        <v>195</v>
      </c>
      <c r="C9" s="160"/>
      <c r="D9" s="160"/>
      <c r="E9" s="160"/>
      <c r="F9" s="160"/>
      <c r="G9" s="160"/>
      <c r="H9" s="161"/>
      <c r="I9" s="1"/>
    </row>
    <row r="10" spans="1:9" x14ac:dyDescent="0.25">
      <c r="A10" s="1"/>
      <c r="B10" s="162" t="s">
        <v>196</v>
      </c>
      <c r="C10" s="163"/>
      <c r="D10" s="163"/>
      <c r="E10" s="163"/>
      <c r="F10" s="164"/>
      <c r="G10" s="40">
        <v>0</v>
      </c>
      <c r="H10" s="9" t="s">
        <v>3</v>
      </c>
      <c r="I10" s="1"/>
    </row>
    <row r="11" spans="1:9" x14ac:dyDescent="0.25">
      <c r="A11" s="1"/>
      <c r="B11" s="162" t="s">
        <v>197</v>
      </c>
      <c r="C11" s="163"/>
      <c r="D11" s="163"/>
      <c r="E11" s="163"/>
      <c r="F11" s="164"/>
      <c r="G11" s="40">
        <v>0</v>
      </c>
      <c r="H11" s="9" t="s">
        <v>3</v>
      </c>
      <c r="I11" s="1"/>
    </row>
    <row r="12" spans="1:9" x14ac:dyDescent="0.25">
      <c r="A12" s="1"/>
      <c r="B12" s="162" t="s">
        <v>198</v>
      </c>
      <c r="C12" s="163"/>
      <c r="D12" s="163"/>
      <c r="E12" s="163"/>
      <c r="F12" s="164"/>
      <c r="G12" s="9">
        <v>0</v>
      </c>
      <c r="H12" s="9" t="s">
        <v>3</v>
      </c>
      <c r="I12" s="1"/>
    </row>
    <row r="13" spans="1:9" x14ac:dyDescent="0.25">
      <c r="A13" s="1"/>
      <c r="B13" s="162" t="s">
        <v>199</v>
      </c>
      <c r="C13" s="163"/>
      <c r="D13" s="163"/>
      <c r="E13" s="163"/>
      <c r="F13" s="164"/>
      <c r="G13" s="9">
        <v>0</v>
      </c>
      <c r="H13" s="9" t="s">
        <v>3</v>
      </c>
      <c r="I13" s="1"/>
    </row>
    <row r="14" spans="1:9" x14ac:dyDescent="0.25">
      <c r="A14" s="1"/>
      <c r="B14" s="162" t="s">
        <v>200</v>
      </c>
      <c r="C14" s="163"/>
      <c r="D14" s="163"/>
      <c r="E14" s="163"/>
      <c r="F14" s="164"/>
      <c r="G14" s="9">
        <v>0</v>
      </c>
      <c r="H14" s="9" t="s">
        <v>3</v>
      </c>
      <c r="I14" s="1"/>
    </row>
    <row r="15" spans="1:9" x14ac:dyDescent="0.25">
      <c r="A15" s="1"/>
      <c r="B15" s="162" t="s">
        <v>201</v>
      </c>
      <c r="C15" s="163"/>
      <c r="D15" s="163"/>
      <c r="E15" s="163"/>
      <c r="F15" s="164"/>
      <c r="G15" s="9">
        <v>0</v>
      </c>
      <c r="H15" s="9" t="s">
        <v>3</v>
      </c>
      <c r="I15" s="1"/>
    </row>
    <row r="16" spans="1:9" x14ac:dyDescent="0.25">
      <c r="A16" s="1"/>
      <c r="B16" s="162" t="s">
        <v>202</v>
      </c>
      <c r="C16" s="163"/>
      <c r="D16" s="163"/>
      <c r="E16" s="163"/>
      <c r="F16" s="164"/>
      <c r="G16" s="9">
        <v>0</v>
      </c>
      <c r="H16" s="9" t="s">
        <v>3</v>
      </c>
      <c r="I16" s="1"/>
    </row>
    <row r="17" spans="1:9" x14ac:dyDescent="0.25">
      <c r="A17" s="1"/>
      <c r="B17" s="162" t="s">
        <v>203</v>
      </c>
      <c r="C17" s="163"/>
      <c r="D17" s="163"/>
      <c r="E17" s="163"/>
      <c r="F17" s="164"/>
      <c r="G17" s="9">
        <v>0</v>
      </c>
      <c r="H17" s="9" t="s">
        <v>3</v>
      </c>
      <c r="I17" s="1"/>
    </row>
    <row r="18" spans="1:9" x14ac:dyDescent="0.25">
      <c r="A18" s="1"/>
      <c r="B18" s="137" t="s">
        <v>204</v>
      </c>
      <c r="C18" s="138"/>
      <c r="D18" s="138"/>
      <c r="E18" s="138"/>
      <c r="F18" s="13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OvajYisoSVJUcsbiIp1IaPaFJMy1oSwO+5LOVq0hksGLbmT0rfRC++/G5sTP7XwRyh/UVIF5LNvS5A5YxhhDtA==" saltValue="JEIRSYQNzm7ySwaZK6Nya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283</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5" t="s">
        <v>284</v>
      </c>
      <c r="C9" s="165"/>
      <c r="D9" s="165"/>
      <c r="E9" s="165"/>
      <c r="F9" s="165"/>
      <c r="G9" s="1"/>
    </row>
    <row r="10" spans="1:7" x14ac:dyDescent="0.25">
      <c r="A10" s="1"/>
      <c r="B10" s="150" t="s">
        <v>79</v>
      </c>
      <c r="C10" s="151"/>
      <c r="D10" s="152"/>
      <c r="E10" s="7">
        <v>0</v>
      </c>
      <c r="F10" s="8" t="s">
        <v>3</v>
      </c>
      <c r="G10" s="1"/>
    </row>
    <row r="11" spans="1:7" x14ac:dyDescent="0.25">
      <c r="A11" s="1"/>
      <c r="B11" s="144" t="s">
        <v>285</v>
      </c>
      <c r="C11" s="145"/>
      <c r="D11" s="146"/>
      <c r="E11" s="7">
        <v>0</v>
      </c>
      <c r="F11" s="8" t="s">
        <v>3</v>
      </c>
      <c r="G11" s="1"/>
    </row>
    <row r="12" spans="1:7" x14ac:dyDescent="0.25">
      <c r="A12" s="1"/>
      <c r="B12" s="156" t="s">
        <v>80</v>
      </c>
      <c r="C12" s="157"/>
      <c r="D12" s="158"/>
      <c r="E12" s="10">
        <f>E11-E10</f>
        <v>0</v>
      </c>
      <c r="F12" s="11" t="s">
        <v>3</v>
      </c>
      <c r="G12" s="1"/>
    </row>
    <row r="13" spans="1:7" x14ac:dyDescent="0.25">
      <c r="A13" s="1"/>
      <c r="B13" s="165" t="s">
        <v>74</v>
      </c>
      <c r="C13" s="165"/>
      <c r="D13" s="165"/>
      <c r="E13" s="165"/>
      <c r="F13" s="165"/>
      <c r="G13" s="1"/>
    </row>
    <row r="14" spans="1:7" x14ac:dyDescent="0.25">
      <c r="A14" s="1"/>
      <c r="B14" s="144" t="s">
        <v>286</v>
      </c>
      <c r="C14" s="145"/>
      <c r="D14" s="146"/>
      <c r="E14" s="7">
        <v>2084584</v>
      </c>
      <c r="F14" s="8" t="s">
        <v>3</v>
      </c>
      <c r="G14" s="1"/>
    </row>
    <row r="15" spans="1:7" x14ac:dyDescent="0.25">
      <c r="A15" s="1"/>
      <c r="B15" s="150" t="s">
        <v>287</v>
      </c>
      <c r="C15" s="151"/>
      <c r="D15" s="152"/>
      <c r="E15" s="7">
        <v>0</v>
      </c>
      <c r="F15" s="8" t="s">
        <v>3</v>
      </c>
      <c r="G15" s="1"/>
    </row>
    <row r="16" spans="1:7" x14ac:dyDescent="0.25">
      <c r="A16" s="1"/>
      <c r="B16" s="156" t="s">
        <v>80</v>
      </c>
      <c r="C16" s="157"/>
      <c r="D16" s="158"/>
      <c r="E16" s="10">
        <f>E15-E14</f>
        <v>-2084584</v>
      </c>
      <c r="F16" s="11" t="s">
        <v>3</v>
      </c>
      <c r="G16" s="1"/>
    </row>
    <row r="17" spans="1:7" ht="15" customHeight="1" x14ac:dyDescent="0.25">
      <c r="A17" s="1"/>
      <c r="B17" s="30" t="s">
        <v>288</v>
      </c>
      <c r="C17" s="31"/>
      <c r="D17" s="31"/>
      <c r="E17" s="12">
        <f>E12+E16</f>
        <v>-2084584</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DJ3QFWb19NcrhmobfKYFcUa9HeyOf5E8tFRwODgAvZqeORZnefFzfEH+X3NP0faZEE4AKx38bamkzDITqCW4A==" saltValue="vLJDk9kykFvS4OvngXxKm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205</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7" t="s">
        <v>179</v>
      </c>
      <c r="C8" s="138"/>
      <c r="D8" s="138"/>
      <c r="E8" s="138"/>
      <c r="F8" s="138"/>
      <c r="G8" s="138"/>
      <c r="H8" s="138"/>
      <c r="I8" s="138"/>
      <c r="J8" s="138"/>
      <c r="K8" s="139"/>
      <c r="L8" s="1"/>
    </row>
    <row r="9" spans="1:12" ht="39.75" customHeight="1" x14ac:dyDescent="0.25">
      <c r="A9" s="1"/>
      <c r="B9" s="18" t="s">
        <v>0</v>
      </c>
      <c r="C9" s="18" t="s">
        <v>1</v>
      </c>
      <c r="D9" s="166" t="s">
        <v>189</v>
      </c>
      <c r="E9" s="167"/>
      <c r="F9" s="166" t="s">
        <v>2</v>
      </c>
      <c r="G9" s="167"/>
      <c r="H9" s="166" t="s">
        <v>191</v>
      </c>
      <c r="I9" s="167"/>
      <c r="J9" s="166" t="s">
        <v>28</v>
      </c>
      <c r="K9" s="167"/>
      <c r="L9" s="1"/>
    </row>
    <row r="10" spans="1:12" x14ac:dyDescent="0.25">
      <c r="A10" s="1"/>
      <c r="B10" s="93" t="s">
        <v>270</v>
      </c>
      <c r="C10" s="34">
        <v>0</v>
      </c>
      <c r="D10" s="9">
        <v>0</v>
      </c>
      <c r="E10" s="14" t="s">
        <v>3</v>
      </c>
      <c r="F10" s="9">
        <f>IFERROR(D10/C10,0)</f>
        <v>0</v>
      </c>
      <c r="G10" s="14" t="s">
        <v>3</v>
      </c>
      <c r="H10" s="9">
        <v>0</v>
      </c>
      <c r="I10" s="14" t="s">
        <v>3</v>
      </c>
      <c r="J10" s="9">
        <v>0</v>
      </c>
      <c r="K10" s="14" t="s">
        <v>3</v>
      </c>
      <c r="L10" s="1"/>
    </row>
    <row r="11" spans="1:12" x14ac:dyDescent="0.25">
      <c r="A11" s="1"/>
      <c r="B11" s="137" t="s">
        <v>180</v>
      </c>
      <c r="C11" s="138"/>
      <c r="D11" s="138"/>
      <c r="E11" s="139"/>
      <c r="F11" s="12">
        <f>SUM(F10:F10)</f>
        <v>0</v>
      </c>
      <c r="G11" s="84" t="s">
        <v>190</v>
      </c>
      <c r="H11" s="12">
        <f>SUM(H10:H10)</f>
        <v>0</v>
      </c>
      <c r="I11" s="84"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Ql9E7syjfYXBkSbPD0lUii+yQoDrWF7V1pXISn+yLgnVbDMPWcxmGI7rDa2pdwG1U9BlfbSD9vFyoIoRirnzPA==" saltValue="NheeKLKZO6ef+oSU09zrPg=="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206</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1" t="s">
        <v>17</v>
      </c>
      <c r="C9" s="91" t="s">
        <v>11</v>
      </c>
      <c r="D9" s="92"/>
      <c r="E9" s="91" t="s">
        <v>29</v>
      </c>
      <c r="F9" s="97"/>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t="s">
        <v>301</v>
      </c>
      <c r="C11" s="21">
        <v>440336</v>
      </c>
      <c r="D11" s="14" t="s">
        <v>3</v>
      </c>
      <c r="E11" s="9">
        <v>1106172</v>
      </c>
      <c r="F11" s="14" t="s">
        <v>3</v>
      </c>
      <c r="G11" s="1"/>
    </row>
    <row r="12" spans="1:7" x14ac:dyDescent="0.25">
      <c r="A12" s="1"/>
      <c r="B12" s="35" t="s">
        <v>302</v>
      </c>
      <c r="C12" s="21">
        <v>93201</v>
      </c>
      <c r="D12" s="14" t="s">
        <v>3</v>
      </c>
      <c r="E12" s="9">
        <v>1411268</v>
      </c>
      <c r="F12" s="14" t="s">
        <v>3</v>
      </c>
      <c r="G12" s="1"/>
    </row>
    <row r="13" spans="1:7" x14ac:dyDescent="0.25">
      <c r="A13" s="1"/>
      <c r="B13" s="35" t="s">
        <v>303</v>
      </c>
      <c r="C13" s="21">
        <v>21626.5</v>
      </c>
      <c r="D13" s="14" t="s">
        <v>3</v>
      </c>
      <c r="E13" s="9">
        <v>125434.5</v>
      </c>
      <c r="F13" s="14" t="s">
        <v>3</v>
      </c>
      <c r="G13" s="1"/>
    </row>
    <row r="14" spans="1:7" x14ac:dyDescent="0.25">
      <c r="A14" s="1"/>
      <c r="B14" s="35" t="s">
        <v>304</v>
      </c>
      <c r="C14" s="21">
        <v>10189</v>
      </c>
      <c r="D14" s="14" t="s">
        <v>3</v>
      </c>
      <c r="E14" s="9">
        <v>139352</v>
      </c>
      <c r="F14" s="14" t="s">
        <v>3</v>
      </c>
      <c r="G14" s="1"/>
    </row>
    <row r="15" spans="1:7" x14ac:dyDescent="0.25">
      <c r="A15" s="1"/>
      <c r="B15" s="35" t="s">
        <v>305</v>
      </c>
      <c r="C15" s="21">
        <v>43026</v>
      </c>
      <c r="D15" s="14" t="s">
        <v>3</v>
      </c>
      <c r="E15" s="9">
        <v>144691</v>
      </c>
      <c r="F15" s="14" t="s">
        <v>3</v>
      </c>
      <c r="G15" s="1"/>
    </row>
    <row r="16" spans="1:7" x14ac:dyDescent="0.25">
      <c r="A16" s="1"/>
      <c r="B16" s="35" t="s">
        <v>306</v>
      </c>
      <c r="C16" s="21">
        <v>8450</v>
      </c>
      <c r="D16" s="14" t="s">
        <v>3</v>
      </c>
      <c r="E16" s="9">
        <v>26513</v>
      </c>
      <c r="F16" s="14" t="s">
        <v>3</v>
      </c>
      <c r="G16" s="1"/>
    </row>
    <row r="17" spans="1:7" x14ac:dyDescent="0.25">
      <c r="A17" s="1"/>
      <c r="B17" s="35" t="s">
        <v>307</v>
      </c>
      <c r="C17" s="21">
        <v>180</v>
      </c>
      <c r="D17" s="14" t="s">
        <v>3</v>
      </c>
      <c r="E17" s="9">
        <v>80090</v>
      </c>
      <c r="F17" s="14" t="s">
        <v>3</v>
      </c>
      <c r="G17" s="1"/>
    </row>
    <row r="18" spans="1:7" x14ac:dyDescent="0.25">
      <c r="A18" s="1"/>
      <c r="B18" s="35" t="s">
        <v>308</v>
      </c>
      <c r="C18" s="21">
        <v>5875</v>
      </c>
      <c r="D18" s="14" t="s">
        <v>3</v>
      </c>
      <c r="E18" s="9">
        <v>24759</v>
      </c>
      <c r="F18" s="14" t="s">
        <v>3</v>
      </c>
      <c r="G18" s="1"/>
    </row>
    <row r="19" spans="1:7" x14ac:dyDescent="0.25">
      <c r="A19" s="1"/>
      <c r="B19" s="35" t="s">
        <v>309</v>
      </c>
      <c r="C19" s="21">
        <v>9682</v>
      </c>
      <c r="D19" s="14" t="s">
        <v>3</v>
      </c>
      <c r="E19" s="9">
        <v>48042</v>
      </c>
      <c r="F19" s="14" t="s">
        <v>3</v>
      </c>
      <c r="G19" s="1"/>
    </row>
    <row r="20" spans="1:7" x14ac:dyDescent="0.25">
      <c r="A20" s="1"/>
      <c r="B20" s="35" t="s">
        <v>310</v>
      </c>
      <c r="C20" s="21">
        <v>1749</v>
      </c>
      <c r="D20" s="14" t="s">
        <v>3</v>
      </c>
      <c r="E20" s="9">
        <v>8232</v>
      </c>
      <c r="F20" s="14" t="s">
        <v>3</v>
      </c>
      <c r="G20" s="1"/>
    </row>
    <row r="21" spans="1:7" x14ac:dyDescent="0.25">
      <c r="A21" s="1"/>
      <c r="B21" s="35" t="s">
        <v>311</v>
      </c>
      <c r="C21" s="21">
        <v>6752</v>
      </c>
      <c r="D21" s="14" t="s">
        <v>3</v>
      </c>
      <c r="E21" s="9">
        <v>31042</v>
      </c>
      <c r="F21" s="14" t="s">
        <v>3</v>
      </c>
      <c r="G21" s="1"/>
    </row>
    <row r="22" spans="1:7" x14ac:dyDescent="0.25">
      <c r="A22" s="1"/>
      <c r="B22" s="35" t="s">
        <v>312</v>
      </c>
      <c r="C22" s="21">
        <v>11349</v>
      </c>
      <c r="D22" s="14" t="s">
        <v>3</v>
      </c>
      <c r="E22" s="9">
        <v>40345</v>
      </c>
      <c r="F22" s="14" t="s">
        <v>3</v>
      </c>
      <c r="G22" s="1"/>
    </row>
    <row r="23" spans="1:7" x14ac:dyDescent="0.25">
      <c r="A23" s="1"/>
      <c r="B23" s="35" t="s">
        <v>313</v>
      </c>
      <c r="C23" s="21">
        <v>8011</v>
      </c>
      <c r="D23" s="14" t="s">
        <v>3</v>
      </c>
      <c r="E23" s="9">
        <v>18623</v>
      </c>
      <c r="F23" s="14" t="s">
        <v>3</v>
      </c>
      <c r="G23" s="1"/>
    </row>
    <row r="24" spans="1:7" x14ac:dyDescent="0.25">
      <c r="A24" s="1"/>
      <c r="B24" s="35" t="s">
        <v>314</v>
      </c>
      <c r="C24" s="21">
        <v>4207</v>
      </c>
      <c r="D24" s="14" t="s">
        <v>3</v>
      </c>
      <c r="E24" s="9">
        <v>16499</v>
      </c>
      <c r="F24" s="14" t="s">
        <v>3</v>
      </c>
      <c r="G24" s="1"/>
    </row>
    <row r="25" spans="1:7" x14ac:dyDescent="0.25">
      <c r="A25" s="1"/>
      <c r="B25" s="35" t="s">
        <v>315</v>
      </c>
      <c r="C25" s="21">
        <v>21080</v>
      </c>
      <c r="D25" s="14" t="s">
        <v>3</v>
      </c>
      <c r="E25" s="9">
        <v>124835</v>
      </c>
      <c r="F25" s="14" t="s">
        <v>3</v>
      </c>
      <c r="G25" s="1"/>
    </row>
    <row r="26" spans="1:7" x14ac:dyDescent="0.25">
      <c r="A26" s="1"/>
      <c r="B26" s="23" t="s">
        <v>316</v>
      </c>
      <c r="C26" s="21">
        <v>168302</v>
      </c>
      <c r="D26" s="14" t="s">
        <v>3</v>
      </c>
      <c r="E26" s="9">
        <v>0</v>
      </c>
      <c r="F26" s="14" t="s">
        <v>3</v>
      </c>
      <c r="G26" s="1"/>
    </row>
    <row r="27" spans="1:7" x14ac:dyDescent="0.25">
      <c r="A27" s="1"/>
      <c r="B27" s="23"/>
      <c r="C27" s="21"/>
      <c r="D27" s="14" t="s">
        <v>3</v>
      </c>
      <c r="E27" s="9"/>
      <c r="F27" s="14" t="s">
        <v>3</v>
      </c>
      <c r="G27" s="1"/>
    </row>
    <row r="28" spans="1:7" x14ac:dyDescent="0.25">
      <c r="A28" s="1"/>
      <c r="B28" s="23"/>
      <c r="C28" s="21"/>
      <c r="D28" s="14" t="s">
        <v>3</v>
      </c>
      <c r="E28" s="9"/>
      <c r="F28" s="14" t="s">
        <v>3</v>
      </c>
      <c r="G28" s="1"/>
    </row>
    <row r="29" spans="1:7" x14ac:dyDescent="0.25">
      <c r="A29" s="1"/>
      <c r="B29" s="23"/>
      <c r="C29" s="21"/>
      <c r="D29" s="14" t="s">
        <v>3</v>
      </c>
      <c r="E29" s="9"/>
      <c r="F29" s="14" t="s">
        <v>3</v>
      </c>
      <c r="G29" s="1"/>
    </row>
    <row r="30" spans="1:7" x14ac:dyDescent="0.25">
      <c r="A30" s="1"/>
      <c r="B30" s="30" t="s">
        <v>173</v>
      </c>
      <c r="C30" s="12">
        <f>SUM(C10:C29)</f>
        <v>854015.5</v>
      </c>
      <c r="D30" s="13" t="s">
        <v>3</v>
      </c>
      <c r="E30" s="12">
        <f>SUM(E10:E29)</f>
        <v>3345897.5</v>
      </c>
      <c r="F30" s="13" t="s">
        <v>3</v>
      </c>
      <c r="G30" s="1"/>
    </row>
    <row r="31" spans="1:7" x14ac:dyDescent="0.25">
      <c r="A31" s="1"/>
      <c r="B31" s="30" t="s">
        <v>261</v>
      </c>
      <c r="C31" s="12">
        <f>C30*(1+'Fane 15. Nøgletal'!C16)</f>
        <v>923019.95239999995</v>
      </c>
      <c r="D31" s="13" t="s">
        <v>3</v>
      </c>
      <c r="E31" s="12">
        <f>E30*(1+'Fane 15. Nøgletal'!C16)</f>
        <v>3616246.0180000002</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2SJUsjFfCuuexIYT7uCnCpXvPYAVNBiWd42t/vpWWw/uTL61WutIkavNeUc1xZ+tCS7wRSmolHmMXZMBFAvbWw==" saltValue="lFhjv3UkE6YFUvpczwARW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207</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82" t="s">
        <v>77</v>
      </c>
      <c r="C7" s="83"/>
      <c r="D7" s="83"/>
      <c r="E7" s="83"/>
      <c r="F7" s="84"/>
      <c r="G7" s="1"/>
    </row>
    <row r="8" spans="1:7" x14ac:dyDescent="0.25">
      <c r="A8" s="1"/>
      <c r="B8" s="91" t="s">
        <v>17</v>
      </c>
      <c r="C8" s="91" t="s">
        <v>11</v>
      </c>
      <c r="D8" s="92"/>
      <c r="E8" s="91" t="s">
        <v>29</v>
      </c>
      <c r="F8" s="97"/>
      <c r="G8" s="1"/>
    </row>
    <row r="9" spans="1:7" x14ac:dyDescent="0.25">
      <c r="A9" s="1"/>
      <c r="B9" s="23" t="s">
        <v>316</v>
      </c>
      <c r="C9" s="21">
        <v>954647</v>
      </c>
      <c r="D9" s="14" t="s">
        <v>3</v>
      </c>
      <c r="E9" s="21">
        <v>0</v>
      </c>
      <c r="F9" s="14" t="s">
        <v>3</v>
      </c>
      <c r="G9" s="1"/>
    </row>
    <row r="10" spans="1:7" x14ac:dyDescent="0.25">
      <c r="A10" s="1"/>
      <c r="B10" s="23"/>
      <c r="C10" s="21"/>
      <c r="D10" s="14" t="s">
        <v>3</v>
      </c>
      <c r="E10" s="21"/>
      <c r="F10" s="14" t="s">
        <v>3</v>
      </c>
      <c r="G10" s="1"/>
    </row>
    <row r="11" spans="1:7" x14ac:dyDescent="0.25">
      <c r="A11" s="1"/>
      <c r="B11" s="30" t="s">
        <v>262</v>
      </c>
      <c r="C11" s="12">
        <f>SUM(C9:C10)</f>
        <v>954647</v>
      </c>
      <c r="D11" s="13" t="s">
        <v>3</v>
      </c>
      <c r="E11" s="12">
        <f>SUM(E9:E10)</f>
        <v>0</v>
      </c>
      <c r="F11" s="13" t="s">
        <v>3</v>
      </c>
      <c r="G11" s="1"/>
    </row>
    <row r="12" spans="1:7" x14ac:dyDescent="0.25">
      <c r="A12" s="1"/>
      <c r="B12" s="30" t="s">
        <v>263</v>
      </c>
      <c r="C12" s="12">
        <f>C11*(1+'Fane 15. Nøgletal'!$C$16)^2</f>
        <v>1115150.50179008</v>
      </c>
      <c r="D12" s="13" t="s">
        <v>3</v>
      </c>
      <c r="E12" s="12">
        <f>E11*(1+'Fane 15. Nøgletal'!$C$16)^2</f>
        <v>0</v>
      </c>
      <c r="F12" s="13" t="s">
        <v>3</v>
      </c>
      <c r="G12" s="1"/>
    </row>
    <row r="13" spans="1:7" x14ac:dyDescent="0.25">
      <c r="A13" s="1"/>
      <c r="B13" s="1"/>
      <c r="C13" s="1"/>
      <c r="D13" s="1"/>
      <c r="E13" s="1"/>
      <c r="F13" s="1"/>
      <c r="G13" s="1"/>
    </row>
    <row r="14" spans="1:7" x14ac:dyDescent="0.25">
      <c r="A14" s="1"/>
      <c r="B14" s="94"/>
      <c r="C14" s="94"/>
      <c r="D14" s="94"/>
      <c r="E14" s="94"/>
      <c r="F14" s="94"/>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8"/>
      <c r="C21" s="168"/>
      <c r="D21" s="168"/>
      <c r="E21" s="168"/>
      <c r="F21" s="168"/>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68"/>
      <c r="C28" s="168"/>
      <c r="D28" s="168"/>
      <c r="E28" s="168"/>
      <c r="F28" s="168"/>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NrUynCNbH+9QQUhE4Pv5PMc4gJvcIL113kErcNmXGVdDQBEx1Z2BLWpcPRNSVXHVrrEqzwh59TyDFDCucp+BJg==" saltValue="/bn29G7ZhkdtXqx92HprFg=="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208</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7" t="s">
        <v>108</v>
      </c>
      <c r="C9" s="138"/>
      <c r="D9" s="138"/>
      <c r="E9" s="138"/>
      <c r="F9" s="139"/>
      <c r="G9" s="1"/>
    </row>
    <row r="10" spans="1:7" x14ac:dyDescent="0.25">
      <c r="A10" s="1"/>
      <c r="B10" s="162" t="s">
        <v>247</v>
      </c>
      <c r="C10" s="163"/>
      <c r="D10" s="164"/>
      <c r="E10" s="9">
        <v>0</v>
      </c>
      <c r="F10" s="14" t="s">
        <v>3</v>
      </c>
      <c r="G10" s="1"/>
    </row>
    <row r="11" spans="1:7" x14ac:dyDescent="0.25">
      <c r="A11" s="1"/>
      <c r="B11" s="169" t="s">
        <v>10</v>
      </c>
      <c r="C11" s="170"/>
      <c r="D11" s="171"/>
      <c r="E11" s="9">
        <f>-E10*'Fane 5. Individuelt eff. krav'!G9</f>
        <v>0</v>
      </c>
      <c r="F11" s="14" t="s">
        <v>3</v>
      </c>
      <c r="G11" s="1"/>
    </row>
    <row r="12" spans="1:7" x14ac:dyDescent="0.25">
      <c r="A12" s="1"/>
      <c r="B12" s="169" t="s">
        <v>24</v>
      </c>
      <c r="C12" s="170"/>
      <c r="D12" s="171"/>
      <c r="E12" s="9">
        <f>-E10*'Fane 15. Nøgletal'!C33</f>
        <v>0</v>
      </c>
      <c r="F12" s="14" t="s">
        <v>3</v>
      </c>
      <c r="G12" s="1"/>
    </row>
    <row r="13" spans="1:7" x14ac:dyDescent="0.25">
      <c r="A13" s="1"/>
      <c r="B13" s="137" t="s">
        <v>109</v>
      </c>
      <c r="C13" s="138"/>
      <c r="D13" s="139"/>
      <c r="E13" s="12">
        <f>SUM(E10:E12)*(1+'Fane 15. Nøgletal'!C16)^2</f>
        <v>0</v>
      </c>
      <c r="F13" s="13" t="s">
        <v>3</v>
      </c>
      <c r="G13" s="1"/>
    </row>
    <row r="14" spans="1:7" x14ac:dyDescent="0.25">
      <c r="A14" s="1"/>
      <c r="B14" s="1"/>
      <c r="C14" s="1"/>
      <c r="D14" s="1"/>
      <c r="E14" s="1"/>
      <c r="F14" s="1"/>
      <c r="G14" s="1"/>
    </row>
    <row r="15" spans="1:7" x14ac:dyDescent="0.25">
      <c r="A15" s="1"/>
      <c r="B15" s="137" t="s">
        <v>127</v>
      </c>
      <c r="C15" s="138"/>
      <c r="D15" s="138"/>
      <c r="E15" s="138"/>
      <c r="F15" s="139"/>
      <c r="G15" s="1"/>
    </row>
    <row r="16" spans="1:7" x14ac:dyDescent="0.25">
      <c r="A16" s="1"/>
      <c r="B16" s="162" t="s">
        <v>247</v>
      </c>
      <c r="C16" s="163"/>
      <c r="D16" s="164"/>
      <c r="E16" s="9">
        <v>0</v>
      </c>
      <c r="F16" s="14" t="s">
        <v>3</v>
      </c>
      <c r="G16" s="1"/>
    </row>
    <row r="17" spans="1:7" x14ac:dyDescent="0.25">
      <c r="A17" s="1"/>
      <c r="B17" s="169" t="s">
        <v>10</v>
      </c>
      <c r="C17" s="170"/>
      <c r="D17" s="171"/>
      <c r="E17" s="9">
        <f>-E16*'Fane 5. Individuelt eff. krav'!G9</f>
        <v>0</v>
      </c>
      <c r="F17" s="14" t="s">
        <v>3</v>
      </c>
      <c r="G17" s="1"/>
    </row>
    <row r="18" spans="1:7" x14ac:dyDescent="0.25">
      <c r="A18" s="1"/>
      <c r="B18" s="169" t="s">
        <v>24</v>
      </c>
      <c r="C18" s="170"/>
      <c r="D18" s="171"/>
      <c r="E18" s="9">
        <f>-E16*'Fane 15. Nøgletal'!C33</f>
        <v>0</v>
      </c>
      <c r="F18" s="14" t="s">
        <v>3</v>
      </c>
      <c r="G18" s="1"/>
    </row>
    <row r="19" spans="1:7" x14ac:dyDescent="0.25">
      <c r="A19" s="1"/>
      <c r="B19" s="137" t="s">
        <v>128</v>
      </c>
      <c r="C19" s="138"/>
      <c r="D19" s="139"/>
      <c r="E19" s="12">
        <f>SUM(E16:E18)*(1+'Fane 15. Nøgletal'!C16)^3</f>
        <v>0</v>
      </c>
      <c r="F19" s="13" t="s">
        <v>3</v>
      </c>
      <c r="G19" s="1"/>
    </row>
    <row r="20" spans="1:7" x14ac:dyDescent="0.25">
      <c r="A20" s="1"/>
      <c r="B20" s="1"/>
      <c r="C20" s="1"/>
      <c r="D20" s="1"/>
      <c r="E20" s="1"/>
      <c r="F20" s="1"/>
      <c r="G20" s="1"/>
    </row>
    <row r="21" spans="1:7" x14ac:dyDescent="0.25">
      <c r="A21" s="1"/>
      <c r="B21" s="137" t="s">
        <v>174</v>
      </c>
      <c r="C21" s="138"/>
      <c r="D21" s="138"/>
      <c r="E21" s="138"/>
      <c r="F21" s="139"/>
      <c r="G21" s="1"/>
    </row>
    <row r="22" spans="1:7" x14ac:dyDescent="0.25">
      <c r="A22" s="1"/>
      <c r="B22" s="162" t="s">
        <v>247</v>
      </c>
      <c r="C22" s="163"/>
      <c r="D22" s="164"/>
      <c r="E22" s="9">
        <v>0</v>
      </c>
      <c r="F22" s="14" t="s">
        <v>3</v>
      </c>
      <c r="G22" s="1"/>
    </row>
    <row r="23" spans="1:7" x14ac:dyDescent="0.25">
      <c r="A23" s="1"/>
      <c r="B23" s="169" t="s">
        <v>10</v>
      </c>
      <c r="C23" s="170"/>
      <c r="D23" s="171"/>
      <c r="E23" s="9">
        <f>-E22*'Fane 5. Individuelt eff. krav'!G9</f>
        <v>0</v>
      </c>
      <c r="F23" s="14" t="s">
        <v>3</v>
      </c>
      <c r="G23" s="1"/>
    </row>
    <row r="24" spans="1:7" x14ac:dyDescent="0.25">
      <c r="A24" s="1"/>
      <c r="B24" s="169" t="s">
        <v>24</v>
      </c>
      <c r="C24" s="170"/>
      <c r="D24" s="171"/>
      <c r="E24" s="9">
        <f>-E22*'Fane 15. Nøgletal'!C33</f>
        <v>0</v>
      </c>
      <c r="F24" s="14" t="s">
        <v>3</v>
      </c>
      <c r="G24" s="1"/>
    </row>
    <row r="25" spans="1:7" x14ac:dyDescent="0.25">
      <c r="A25" s="1"/>
      <c r="B25" s="137" t="s">
        <v>175</v>
      </c>
      <c r="C25" s="138"/>
      <c r="D25" s="139"/>
      <c r="E25" s="12">
        <f>SUM(E22:E24)*(1+'Fane 15. Nøgletal'!C16)^4</f>
        <v>0</v>
      </c>
      <c r="F25" s="13" t="s">
        <v>3</v>
      </c>
      <c r="G25" s="1"/>
    </row>
    <row r="26" spans="1:7" x14ac:dyDescent="0.25">
      <c r="A26" s="1"/>
      <c r="B26" s="1"/>
      <c r="C26" s="1"/>
      <c r="D26" s="1"/>
      <c r="E26" s="1"/>
      <c r="F26" s="1"/>
      <c r="G26" s="1"/>
    </row>
    <row r="27" spans="1:7" x14ac:dyDescent="0.25">
      <c r="A27" s="1"/>
      <c r="B27" s="137" t="s">
        <v>245</v>
      </c>
      <c r="C27" s="138"/>
      <c r="D27" s="138"/>
      <c r="E27" s="138"/>
      <c r="F27" s="139"/>
      <c r="G27" s="1"/>
    </row>
    <row r="28" spans="1:7" x14ac:dyDescent="0.25">
      <c r="A28" s="1"/>
      <c r="B28" s="162" t="s">
        <v>247</v>
      </c>
      <c r="C28" s="163"/>
      <c r="D28" s="164"/>
      <c r="E28" s="9">
        <v>0</v>
      </c>
      <c r="F28" s="14" t="s">
        <v>3</v>
      </c>
      <c r="G28" s="1"/>
    </row>
    <row r="29" spans="1:7" x14ac:dyDescent="0.25">
      <c r="A29" s="1"/>
      <c r="B29" s="169" t="s">
        <v>10</v>
      </c>
      <c r="C29" s="170"/>
      <c r="D29" s="171"/>
      <c r="E29" s="9">
        <f>-E28*'Fane 5. Individuelt eff. krav'!G9</f>
        <v>0</v>
      </c>
      <c r="F29" s="14" t="s">
        <v>3</v>
      </c>
      <c r="G29" s="1"/>
    </row>
    <row r="30" spans="1:7" x14ac:dyDescent="0.25">
      <c r="A30" s="1"/>
      <c r="B30" s="169" t="s">
        <v>24</v>
      </c>
      <c r="C30" s="170"/>
      <c r="D30" s="171"/>
      <c r="E30" s="9">
        <f>-E28*'Fane 15. Nøgletal'!C33</f>
        <v>0</v>
      </c>
      <c r="F30" s="14" t="s">
        <v>3</v>
      </c>
      <c r="G30" s="1"/>
    </row>
    <row r="31" spans="1:7" x14ac:dyDescent="0.25">
      <c r="A31" s="1"/>
      <c r="B31" s="137" t="s">
        <v>246</v>
      </c>
      <c r="C31" s="138"/>
      <c r="D31" s="13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xRsMJn2DOaucC7NIdvWmuG8MvX7qp8mHj0lDIO1ZW6/LyslO+tzk39KpucjoVmVSi3+BZ7fMkGV0q1ZbcPWIJA==" saltValue="ZrFIGyv6Dgnk23SlUCOTrQ=="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209</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7" t="s">
        <v>110</v>
      </c>
      <c r="C8" s="138"/>
      <c r="D8" s="138"/>
      <c r="E8" s="138"/>
      <c r="F8" s="139"/>
      <c r="G8" s="1"/>
    </row>
    <row r="9" spans="1:7" ht="15" customHeight="1" x14ac:dyDescent="0.25">
      <c r="A9" s="1"/>
      <c r="B9" s="96" t="s">
        <v>111</v>
      </c>
      <c r="C9" s="159" t="s">
        <v>11</v>
      </c>
      <c r="D9" s="161"/>
      <c r="E9" s="172" t="s">
        <v>29</v>
      </c>
      <c r="F9" s="173"/>
      <c r="G9" s="1"/>
    </row>
    <row r="10" spans="1:7" ht="26.25" x14ac:dyDescent="0.25">
      <c r="A10" s="1"/>
      <c r="B10" s="70"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9O9iHyfRj4ifHjVKL8FEghBlM+93WK0Tfr0jMaB203q5vOn1Pbmu2s/kBzsKgRUPyRcn1iHsTOqZJy2mvJt6yA==" saltValue="a33jjlVXHRJG4Ot7J7soj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210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7" t="s">
        <v>265</v>
      </c>
      <c r="C9" s="138"/>
      <c r="D9" s="138"/>
      <c r="E9" s="138"/>
      <c r="F9" s="139"/>
      <c r="G9" s="1"/>
    </row>
    <row r="10" spans="1:7" ht="26.25" x14ac:dyDescent="0.25">
      <c r="A10" s="1"/>
      <c r="B10" s="96" t="s">
        <v>18</v>
      </c>
      <c r="C10" s="96" t="s">
        <v>11</v>
      </c>
      <c r="D10" s="97"/>
      <c r="E10" s="96" t="s">
        <v>29</v>
      </c>
      <c r="F10" s="97"/>
      <c r="G10" s="1"/>
    </row>
    <row r="11" spans="1:7" x14ac:dyDescent="0.25">
      <c r="A11" s="1"/>
      <c r="B11" s="70"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8"/>
      <c r="C21" s="168"/>
      <c r="D21" s="168"/>
      <c r="E21" s="168"/>
      <c r="F21" s="168"/>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8"/>
      <c r="C27" s="168"/>
      <c r="D27" s="168"/>
      <c r="E27" s="168"/>
      <c r="F27" s="168"/>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SXHpeBW+Y3dgRBZeK/wQm3X6+Lw9gh4rUnIR+7bzbVxtEoxR1o72ywZ2M52laH2OI2u8UA0xxSZ9owR6sgnixg==" saltValue="0SYS/cJhoDaRJCIxRwhxU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244</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8" t="s">
        <v>106</v>
      </c>
      <c r="C9" s="7">
        <f>'Fane 3. Omkostninger i ØR2023'!C22</f>
        <v>114885565.69295342</v>
      </c>
      <c r="D9" s="8" t="s">
        <v>3</v>
      </c>
      <c r="E9" s="1"/>
    </row>
    <row r="10" spans="1:5" ht="17.25" customHeight="1" x14ac:dyDescent="0.25">
      <c r="A10" s="1"/>
      <c r="B10" s="95" t="s">
        <v>37</v>
      </c>
      <c r="C10" s="36">
        <f>'Fane 11.1. Varige tillæg'!C31</f>
        <v>923019.95239999995</v>
      </c>
      <c r="D10" s="8" t="s">
        <v>3</v>
      </c>
      <c r="E10" s="1"/>
    </row>
    <row r="11" spans="1:5" ht="17.25" customHeight="1" x14ac:dyDescent="0.25">
      <c r="A11" s="1"/>
      <c r="B11" s="95" t="s">
        <v>38</v>
      </c>
      <c r="C11" s="36">
        <f>'Fane 11.1. Varige tillæg'!E31</f>
        <v>3616246.0180000002</v>
      </c>
      <c r="D11" s="8" t="s">
        <v>3</v>
      </c>
      <c r="E11" s="1"/>
    </row>
    <row r="12" spans="1:5" ht="17.25" customHeight="1" x14ac:dyDescent="0.25">
      <c r="A12" s="1"/>
      <c r="B12" s="95" t="s">
        <v>27</v>
      </c>
      <c r="C12" s="9">
        <f>-'Fane 14. Bortfald'!C13</f>
        <v>0</v>
      </c>
      <c r="D12" s="8" t="s">
        <v>3</v>
      </c>
      <c r="E12" s="1"/>
    </row>
    <row r="13" spans="1:5" ht="17.25" customHeight="1" x14ac:dyDescent="0.25">
      <c r="A13" s="1"/>
      <c r="B13" s="95" t="s">
        <v>26</v>
      </c>
      <c r="C13" s="9">
        <f>-'Fane 14. Bortfald'!E13</f>
        <v>0</v>
      </c>
      <c r="D13" s="8" t="s">
        <v>3</v>
      </c>
      <c r="E13" s="1"/>
    </row>
    <row r="14" spans="1:5" ht="17.25" customHeight="1" x14ac:dyDescent="0.25">
      <c r="A14" s="1"/>
      <c r="B14" s="95" t="s">
        <v>104</v>
      </c>
      <c r="C14" s="9">
        <f>'Fane 13. Tilknyttet virksomhed'!C13</f>
        <v>0</v>
      </c>
      <c r="D14" s="8" t="s">
        <v>3</v>
      </c>
      <c r="E14" s="1"/>
    </row>
    <row r="15" spans="1:5" ht="17.25" customHeight="1" x14ac:dyDescent="0.25">
      <c r="A15" s="1"/>
      <c r="B15" s="95" t="s">
        <v>105</v>
      </c>
      <c r="C15" s="9">
        <f>'Fane 13. Tilknyttet virksomhed'!E13</f>
        <v>0</v>
      </c>
      <c r="D15" s="8" t="s">
        <v>3</v>
      </c>
      <c r="E15" s="1"/>
    </row>
    <row r="16" spans="1:5" ht="17.25" customHeight="1" x14ac:dyDescent="0.25">
      <c r="A16" s="1"/>
      <c r="B16" s="95" t="s">
        <v>19</v>
      </c>
      <c r="C16" s="9">
        <f>SUM(C9:C15)*'Fane 15. Nøgletal'!C16</f>
        <v>9649526.3983989563</v>
      </c>
      <c r="D16" s="8" t="s">
        <v>3</v>
      </c>
      <c r="E16" s="1"/>
    </row>
    <row r="17" spans="1:5" ht="17.25" customHeight="1" x14ac:dyDescent="0.25">
      <c r="A17" s="1"/>
      <c r="B17" s="95" t="s">
        <v>10</v>
      </c>
      <c r="C17" s="9">
        <f>-SUM(C9,C10:C16)*'Fane 5. Individuelt eff. krav'!G9</f>
        <v>0</v>
      </c>
      <c r="D17" s="8" t="s">
        <v>3</v>
      </c>
      <c r="E17" s="1"/>
    </row>
    <row r="18" spans="1:5" ht="17.25" customHeight="1" x14ac:dyDescent="0.25">
      <c r="A18" s="1"/>
      <c r="B18" s="95" t="s">
        <v>24</v>
      </c>
      <c r="C18" s="9">
        <f>-'Fane 4.1. Gen. krav - drift'!G55</f>
        <v>-453032.08925433661</v>
      </c>
      <c r="D18" s="8" t="s">
        <v>3</v>
      </c>
      <c r="E18" s="38"/>
    </row>
    <row r="19" spans="1:5" ht="15" customHeight="1" x14ac:dyDescent="0.25">
      <c r="A19" s="1"/>
      <c r="B19" s="95" t="s">
        <v>25</v>
      </c>
      <c r="C19" s="9">
        <f>-'Fane 4.2. Gen. krav - anlæg'!G53</f>
        <v>0</v>
      </c>
      <c r="D19" s="8" t="s">
        <v>3</v>
      </c>
      <c r="E19" s="1"/>
    </row>
    <row r="20" spans="1:5" ht="15" customHeight="1" x14ac:dyDescent="0.25">
      <c r="A20" s="1"/>
      <c r="B20" s="88" t="s">
        <v>21</v>
      </c>
      <c r="C20" s="10">
        <f>SUM(C9:C19)</f>
        <v>128621325.97249804</v>
      </c>
      <c r="D20" s="11" t="s">
        <v>3</v>
      </c>
      <c r="E20" s="1"/>
    </row>
    <row r="21" spans="1:5" ht="15" customHeight="1" x14ac:dyDescent="0.25">
      <c r="A21" s="1"/>
      <c r="B21" s="30" t="s">
        <v>12</v>
      </c>
      <c r="C21" s="31"/>
      <c r="D21" s="19"/>
      <c r="E21" s="1"/>
    </row>
    <row r="22" spans="1:5" ht="15" customHeight="1" x14ac:dyDescent="0.25">
      <c r="A22" s="1"/>
      <c r="B22" s="96" t="s">
        <v>12</v>
      </c>
      <c r="C22" s="10">
        <f>'Fane 6. Ikke-påvirkelige omk.'!C16+'Fane 6. Ikke-påvirkelige omk.'!C20+'Fane 6. Ikke-påvirkelige omk.'!C28</f>
        <v>53977935.839496993</v>
      </c>
      <c r="D22" s="11" t="s">
        <v>3</v>
      </c>
      <c r="E22" s="1"/>
    </row>
    <row r="23" spans="1:5" ht="15" customHeight="1" x14ac:dyDescent="0.25">
      <c r="A23" s="1"/>
      <c r="B23" s="30" t="s">
        <v>70</v>
      </c>
      <c r="C23" s="31"/>
      <c r="D23" s="19"/>
      <c r="E23" s="1"/>
    </row>
    <row r="24" spans="1:5" ht="15" customHeight="1" x14ac:dyDescent="0.25">
      <c r="A24" s="1"/>
      <c r="B24" s="88" t="s">
        <v>70</v>
      </c>
      <c r="C24" s="10">
        <f>'Fane 12. Periodevise driftsomk.'!E13</f>
        <v>0</v>
      </c>
      <c r="D24" s="11" t="s">
        <v>3</v>
      </c>
      <c r="E24" s="1"/>
    </row>
    <row r="25" spans="1:5" ht="15" customHeight="1" x14ac:dyDescent="0.25">
      <c r="A25" s="1"/>
      <c r="B25" s="30" t="s">
        <v>69</v>
      </c>
      <c r="C25" s="31"/>
      <c r="D25" s="19"/>
      <c r="E25" s="1"/>
    </row>
    <row r="26" spans="1:5" x14ac:dyDescent="0.25">
      <c r="A26" s="1"/>
      <c r="B26" s="95" t="s">
        <v>65</v>
      </c>
      <c r="C26" s="9">
        <f>'Fane 11.2. Engangstillæg'!C12</f>
        <v>1115150.50179008</v>
      </c>
      <c r="D26" s="8" t="s">
        <v>3</v>
      </c>
      <c r="E26" s="1"/>
    </row>
    <row r="27" spans="1:5" ht="15" customHeight="1" x14ac:dyDescent="0.25">
      <c r="A27" s="1"/>
      <c r="B27" s="95" t="s">
        <v>66</v>
      </c>
      <c r="C27" s="9">
        <f>'Fane 11.2. Engangstillæg'!E12</f>
        <v>0</v>
      </c>
      <c r="D27" s="8" t="s">
        <v>3</v>
      </c>
      <c r="E27" s="1"/>
    </row>
    <row r="28" spans="1:5" ht="15" customHeight="1" x14ac:dyDescent="0.25">
      <c r="A28" s="1"/>
      <c r="B28" s="95" t="s">
        <v>185</v>
      </c>
      <c r="C28" s="9">
        <f>-C26*('Fane 15. Nøgletal'!C33+'Fane 5. Individuelt eff. krav'!G9)</f>
        <v>-22303.010035801599</v>
      </c>
      <c r="D28" s="8" t="s">
        <v>3</v>
      </c>
      <c r="E28" s="1"/>
    </row>
    <row r="29" spans="1:5" ht="15" customHeight="1" x14ac:dyDescent="0.25">
      <c r="A29" s="1"/>
      <c r="B29" s="37" t="s">
        <v>186</v>
      </c>
      <c r="C29" s="9">
        <f>-C27*('Fane 15. Nøgletal'!C28+'Fane 5. Individuelt eff. krav'!G9)</f>
        <v>0</v>
      </c>
      <c r="D29" s="8" t="s">
        <v>3</v>
      </c>
      <c r="E29" s="1"/>
    </row>
    <row r="30" spans="1:5" x14ac:dyDescent="0.25">
      <c r="A30" s="1"/>
      <c r="B30" s="88" t="s">
        <v>71</v>
      </c>
      <c r="C30" s="10">
        <f>SUM(C26:C29)</f>
        <v>1092847.4917542783</v>
      </c>
      <c r="D30" s="11" t="s">
        <v>3</v>
      </c>
      <c r="E30" s="1"/>
    </row>
    <row r="31" spans="1:5" x14ac:dyDescent="0.25">
      <c r="A31" s="1"/>
      <c r="B31" s="30" t="s">
        <v>222</v>
      </c>
      <c r="C31" s="31"/>
      <c r="D31" s="19"/>
      <c r="E31" s="1"/>
    </row>
    <row r="32" spans="1:5" x14ac:dyDescent="0.25">
      <c r="A32" s="1"/>
      <c r="B32" s="96" t="s">
        <v>222</v>
      </c>
      <c r="C32" s="10">
        <f>'Fane 9. Korrektion af ØR2022'!E17</f>
        <v>-2084584</v>
      </c>
      <c r="D32" s="11" t="s">
        <v>3</v>
      </c>
      <c r="E32" s="1"/>
    </row>
    <row r="33" spans="1:5" x14ac:dyDescent="0.25">
      <c r="A33" s="1"/>
      <c r="B33" s="30" t="s">
        <v>119</v>
      </c>
      <c r="C33" s="31"/>
      <c r="D33" s="19"/>
      <c r="E33" s="1"/>
    </row>
    <row r="34" spans="1:5" x14ac:dyDescent="0.25">
      <c r="A34" s="1"/>
      <c r="B34" s="96" t="s">
        <v>163</v>
      </c>
      <c r="C34" s="10">
        <f>'Fane 7. Kontrol af ØR2022'!E32</f>
        <v>0</v>
      </c>
      <c r="D34" s="11" t="s">
        <v>3</v>
      </c>
      <c r="E34" s="1"/>
    </row>
    <row r="35" spans="1:5" ht="26.25" customHeight="1" x14ac:dyDescent="0.25">
      <c r="A35" s="1"/>
      <c r="B35" s="117" t="s">
        <v>155</v>
      </c>
      <c r="C35" s="118"/>
      <c r="D35" s="119"/>
      <c r="E35" s="1"/>
    </row>
    <row r="36" spans="1:5" x14ac:dyDescent="0.25">
      <c r="A36" s="1"/>
      <c r="B36" s="69" t="s">
        <v>156</v>
      </c>
      <c r="C36" s="10">
        <f>'Fane 8. Skattesagen'!G13</f>
        <v>0</v>
      </c>
      <c r="D36" s="11" t="s">
        <v>3</v>
      </c>
      <c r="E36" s="1"/>
    </row>
    <row r="37" spans="1:5" x14ac:dyDescent="0.25">
      <c r="A37" s="1"/>
      <c r="B37" s="32" t="s">
        <v>317</v>
      </c>
      <c r="C37" s="31"/>
      <c r="D37" s="19"/>
      <c r="E37" s="1"/>
    </row>
    <row r="38" spans="1:5" x14ac:dyDescent="0.25">
      <c r="A38" s="1"/>
      <c r="B38" s="69" t="s">
        <v>318</v>
      </c>
      <c r="C38" s="10">
        <v>837265.86108693434</v>
      </c>
      <c r="D38" s="11" t="s">
        <v>3</v>
      </c>
      <c r="E38" s="1"/>
    </row>
    <row r="39" spans="1:5" x14ac:dyDescent="0.25">
      <c r="A39" s="1"/>
      <c r="B39" s="30" t="s">
        <v>107</v>
      </c>
      <c r="C39" s="12">
        <f>SUM(C20,C22,C24,C30,C32,C34,C36,C38)</f>
        <v>182444791.16483623</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sheetData>
  <sheetProtection algorithmName="SHA-512" hashValue="iZwq9CYhgWlUbcbZceTz6gg3TA4s7fYmsI9y+hugDb/FHSAosYVKVOxsdhGBshnyH+SZrNQRfmTdbQ7+Q5ZCiQ==" saltValue="Qlcld1hQawbFLP+G2O/RSA=="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211</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cIYzG5aMAs6aue8xJfPNm9kkgH2pp+n2pGmNvDRdbwMzo1YAyD4Yw275wV8oMm2nnuTrz+5yUKSeTrxyXCy6ew==" saltValue="cDNDNKPoS7dyiOANYD1V5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224</v>
      </c>
      <c r="C3" s="116"/>
      <c r="D3" s="116"/>
      <c r="E3" s="1"/>
    </row>
    <row r="4" spans="1:5" ht="15" customHeight="1" x14ac:dyDescent="0.25">
      <c r="A4" s="1"/>
      <c r="B4" s="116"/>
      <c r="C4" s="116"/>
      <c r="D4" s="116"/>
      <c r="E4" s="1"/>
    </row>
    <row r="5" spans="1:5" x14ac:dyDescent="0.25">
      <c r="A5" s="1"/>
      <c r="B5" s="120"/>
      <c r="C5" s="120"/>
      <c r="D5" s="120"/>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8" t="s">
        <v>122</v>
      </c>
      <c r="C9" s="7">
        <f>'Fane 2.1. Økonomisk ramme 2024'!C20</f>
        <v>128621325.97249804</v>
      </c>
      <c r="D9" s="8" t="s">
        <v>3</v>
      </c>
      <c r="E9" s="1"/>
    </row>
    <row r="10" spans="1:5" ht="15" customHeight="1" x14ac:dyDescent="0.25">
      <c r="A10" s="1"/>
      <c r="B10" s="67" t="s">
        <v>19</v>
      </c>
      <c r="C10" s="7">
        <f>SUM(C9:C9)*'Fane 15. Nøgletal'!C16</f>
        <v>10392603.138577841</v>
      </c>
      <c r="D10" s="8" t="s">
        <v>3</v>
      </c>
      <c r="E10" s="1"/>
    </row>
    <row r="11" spans="1:5" ht="15" customHeight="1" x14ac:dyDescent="0.25">
      <c r="A11" s="1"/>
      <c r="B11" s="67" t="s">
        <v>10</v>
      </c>
      <c r="C11" s="9">
        <f>-SUM(C9:C10)*'Fane 5. Individuelt eff. krav'!G9</f>
        <v>0</v>
      </c>
      <c r="D11" s="8" t="s">
        <v>3</v>
      </c>
      <c r="E11" s="1"/>
    </row>
    <row r="12" spans="1:5" ht="15" customHeight="1" x14ac:dyDescent="0.25">
      <c r="A12" s="1"/>
      <c r="B12" s="67" t="s">
        <v>24</v>
      </c>
      <c r="C12" s="9">
        <f>-'Fane 4.1. Gen. krav - drift'!G60</f>
        <v>-479844.34042476519</v>
      </c>
      <c r="D12" s="8" t="s">
        <v>3</v>
      </c>
      <c r="E12" s="1"/>
    </row>
    <row r="13" spans="1:5" ht="15" customHeight="1" x14ac:dyDescent="0.25">
      <c r="A13" s="1"/>
      <c r="B13" s="67" t="s">
        <v>25</v>
      </c>
      <c r="C13" s="9">
        <f>-'Fane 4.2. Gen. krav - anlæg'!G58</f>
        <v>0</v>
      </c>
      <c r="D13" s="8" t="s">
        <v>3</v>
      </c>
      <c r="E13" s="1"/>
    </row>
    <row r="14" spans="1:5" ht="15" customHeight="1" x14ac:dyDescent="0.25">
      <c r="A14" s="1"/>
      <c r="B14" s="33" t="s">
        <v>21</v>
      </c>
      <c r="C14" s="10">
        <f>SUM(C9:C13)</f>
        <v>138534084.7706511</v>
      </c>
      <c r="D14" s="11" t="s">
        <v>3</v>
      </c>
      <c r="E14" s="1"/>
    </row>
    <row r="15" spans="1:5" ht="15" customHeight="1" x14ac:dyDescent="0.25">
      <c r="A15" s="1"/>
      <c r="B15" s="30" t="s">
        <v>12</v>
      </c>
      <c r="C15" s="31"/>
      <c r="D15" s="19"/>
      <c r="E15" s="1"/>
    </row>
    <row r="16" spans="1:5" ht="15" customHeight="1" x14ac:dyDescent="0.25">
      <c r="A16" s="1"/>
      <c r="B16" s="96" t="s">
        <v>12</v>
      </c>
      <c r="C16" s="10">
        <f>'Fane 6. Ikke-påvirkelige omk.'!C16*(1+'Fane 15. Nøgletal'!C16)+'Fane 6. Ikke-påvirkelige omk.'!C21+'Fane 6. Ikke-påvirkelige omk.'!C29</f>
        <v>58144870.379328348</v>
      </c>
      <c r="D16" s="11" t="s">
        <v>3</v>
      </c>
      <c r="E16" s="1"/>
    </row>
    <row r="17" spans="1:5" ht="15" customHeight="1" x14ac:dyDescent="0.25">
      <c r="A17" s="1"/>
      <c r="B17" s="30" t="s">
        <v>70</v>
      </c>
      <c r="C17" s="31"/>
      <c r="D17" s="19"/>
      <c r="E17" s="1"/>
    </row>
    <row r="18" spans="1:5" ht="15" customHeight="1" x14ac:dyDescent="0.25">
      <c r="A18" s="1"/>
      <c r="B18" s="88"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6" t="s">
        <v>163</v>
      </c>
      <c r="C20" s="10">
        <f>'Fane 7. Kontrol af ØR2022'!E32</f>
        <v>0</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196678955.14997944</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4wrPz2JAciPvXK5dpAptCUea6iZ3x4To/f4f7xcralNGqD2auXiKLOFCsFpYu0Zd731nG2viAwrYYyOEbPm2uA==" saltValue="DIdwJXL+/uNLu+mGuEzWm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249</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164</v>
      </c>
      <c r="C8" s="7">
        <f>'Fane 2.2. Økonomisk ramme 2025'!C14</f>
        <v>138534084.7706511</v>
      </c>
      <c r="D8" s="8" t="s">
        <v>3</v>
      </c>
      <c r="E8" s="1"/>
    </row>
    <row r="9" spans="1:5" ht="15" customHeight="1" x14ac:dyDescent="0.25">
      <c r="A9" s="1"/>
      <c r="B9" s="67" t="s">
        <v>19</v>
      </c>
      <c r="C9" s="40">
        <f>SUM(C8:C8)*'Fane 15. Nøgletal'!C16</f>
        <v>11193554.049468609</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drift'!G65</f>
        <v>-508243.44786846451</v>
      </c>
      <c r="D11" s="8" t="s">
        <v>3</v>
      </c>
      <c r="E11" s="1"/>
    </row>
    <row r="12" spans="1:5" ht="15" customHeight="1" x14ac:dyDescent="0.25">
      <c r="A12" s="1"/>
      <c r="B12" s="67" t="s">
        <v>25</v>
      </c>
      <c r="C12" s="9">
        <f>-'Fane 4.2. Gen. krav - anlæg'!G63</f>
        <v>0</v>
      </c>
      <c r="D12" s="8" t="s">
        <v>3</v>
      </c>
      <c r="E12" s="1"/>
    </row>
    <row r="13" spans="1:5" ht="15.75" customHeight="1" x14ac:dyDescent="0.25">
      <c r="A13" s="1"/>
      <c r="B13" s="33" t="s">
        <v>21</v>
      </c>
      <c r="C13" s="10">
        <f>SUM(C8:C12)</f>
        <v>149219395.37225124</v>
      </c>
      <c r="D13" s="11" t="s">
        <v>3</v>
      </c>
      <c r="E13" s="1"/>
    </row>
    <row r="14" spans="1:5" x14ac:dyDescent="0.25">
      <c r="A14" s="1"/>
      <c r="B14" s="30" t="s">
        <v>12</v>
      </c>
      <c r="C14" s="31"/>
      <c r="D14" s="19"/>
      <c r="E14" s="1"/>
    </row>
    <row r="15" spans="1:5" ht="15" customHeight="1" x14ac:dyDescent="0.25">
      <c r="A15" s="1"/>
      <c r="B15" s="96" t="s">
        <v>12</v>
      </c>
      <c r="C15" s="10">
        <f>'Fane 6. Ikke-påvirkelige omk.'!C16*(1+'Fane 15. Nøgletal'!C16)^2+'Fane 6. Ikke-påvirkelige omk.'!C22+'Fane 6. Ikke-påvirkelige omk.'!C30</f>
        <v>62648303.124378078</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211867698.49662933</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P6onKBclgVWjgyNjikDPqnJMzRmXxZr3A5CftPfYdKoWPeisNoXE+nVpVkquuoDM6SbOT7UVcPlEPVTRJs53A==" saltValue="NC5JNQ4qskypRkI+5KEOZ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248</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251</v>
      </c>
      <c r="C8" s="7">
        <f>'Fane 2.3. Økonomisk ramme 2026'!C13</f>
        <v>149219395.37225124</v>
      </c>
      <c r="D8" s="8" t="s">
        <v>3</v>
      </c>
      <c r="E8" s="1"/>
    </row>
    <row r="9" spans="1:5" ht="15" customHeight="1" x14ac:dyDescent="0.25">
      <c r="A9" s="1"/>
      <c r="B9" s="67" t="s">
        <v>19</v>
      </c>
      <c r="C9" s="40">
        <f>SUM(C8:C8)*'Fane 15. Nøgletal'!C16</f>
        <v>12056927.146077899</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drift'!G70</f>
        <v>-538323.32808711182</v>
      </c>
      <c r="D11" s="8" t="s">
        <v>3</v>
      </c>
      <c r="E11" s="1"/>
    </row>
    <row r="12" spans="1:5" ht="15" customHeight="1" x14ac:dyDescent="0.25">
      <c r="A12" s="1"/>
      <c r="B12" s="67" t="s">
        <v>25</v>
      </c>
      <c r="C12" s="9">
        <f>-'Fane 4.2. Gen. krav - anlæg'!G68</f>
        <v>0</v>
      </c>
      <c r="D12" s="8" t="s">
        <v>3</v>
      </c>
      <c r="E12" s="1"/>
    </row>
    <row r="13" spans="1:5" ht="15.75" customHeight="1" x14ac:dyDescent="0.25">
      <c r="A13" s="1"/>
      <c r="B13" s="33" t="s">
        <v>21</v>
      </c>
      <c r="C13" s="10">
        <f>SUM(C8:C12)</f>
        <v>160737999.19024202</v>
      </c>
      <c r="D13" s="11" t="s">
        <v>3</v>
      </c>
      <c r="E13" s="1"/>
    </row>
    <row r="14" spans="1:5" x14ac:dyDescent="0.25">
      <c r="A14" s="1"/>
      <c r="B14" s="30" t="s">
        <v>12</v>
      </c>
      <c r="C14" s="31"/>
      <c r="D14" s="19"/>
      <c r="E14" s="1"/>
    </row>
    <row r="15" spans="1:5" ht="15" customHeight="1" x14ac:dyDescent="0.25">
      <c r="A15" s="1"/>
      <c r="B15" s="96" t="s">
        <v>12</v>
      </c>
      <c r="C15" s="10">
        <f>'Fane 6. Ikke-påvirkelige omk.'!C16*(1+'Fane 15. Nøgletal'!C16)^3+'Fane 6. Ikke-påvirkelige omk.'!C23+'Fane 6. Ikke-påvirkelige omk.'!C31</f>
        <v>67515414.716027826</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228253413.90626985</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aVc+wuGVWQWb7dYO5EfkR1N6gIe+46hC+BtW4qQA99WLuo3c9gaZ5uvQGah6trkGy0stCPQYJGV18czFDZbFA==" saltValue="ld9/Y0n2F8V9Ou3YAXe19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view="pageLayout" zoomScale="90" zoomScaleNormal="100" zoomScalePageLayoutView="90" workbookViewId="0"/>
  </sheetViews>
  <sheetFormatPr defaultColWidth="9" defaultRowHeight="15" x14ac:dyDescent="0.25"/>
  <cols>
    <col min="1" max="1" width="4.28515625" style="2" customWidth="1"/>
    <col min="2" max="2" width="60.5703125" style="2" customWidth="1"/>
    <col min="3" max="3" width="12.7109375" style="2" customWidth="1"/>
    <col min="4" max="4" width="3.7109375" style="2" customWidth="1"/>
    <col min="5" max="5" width="5.5703125" style="2"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2" t="s">
        <v>239</v>
      </c>
      <c r="C3" s="122"/>
      <c r="D3" s="122"/>
      <c r="E3" s="1"/>
    </row>
    <row r="4" spans="1:5" x14ac:dyDescent="0.25">
      <c r="A4" s="1"/>
      <c r="B4" s="122"/>
      <c r="C4" s="122"/>
      <c r="D4" s="12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8" t="s">
        <v>241</v>
      </c>
      <c r="C9" s="7">
        <v>113019882.07248318</v>
      </c>
      <c r="D9" s="8" t="s">
        <v>3</v>
      </c>
      <c r="E9" s="1"/>
    </row>
    <row r="10" spans="1:5" x14ac:dyDescent="0.25">
      <c r="A10" s="1"/>
      <c r="B10" s="67" t="s">
        <v>271</v>
      </c>
      <c r="C10" s="7">
        <v>291803.250120221</v>
      </c>
      <c r="D10" s="8" t="s">
        <v>3</v>
      </c>
      <c r="E10" s="1"/>
    </row>
    <row r="11" spans="1:5" x14ac:dyDescent="0.25">
      <c r="A11" s="1"/>
      <c r="B11" s="67" t="s">
        <v>272</v>
      </c>
      <c r="C11" s="7">
        <v>4469248.3442527968</v>
      </c>
      <c r="D11" s="8" t="s">
        <v>3</v>
      </c>
      <c r="E11" s="1"/>
    </row>
    <row r="12" spans="1:5" x14ac:dyDescent="0.25">
      <c r="A12" s="1"/>
      <c r="B12" s="95" t="s">
        <v>37</v>
      </c>
      <c r="C12" s="36">
        <v>580495.22400000005</v>
      </c>
      <c r="D12" s="8" t="s">
        <v>3</v>
      </c>
      <c r="E12" s="1"/>
    </row>
    <row r="13" spans="1:5" x14ac:dyDescent="0.25">
      <c r="A13" s="1"/>
      <c r="B13" s="95" t="s">
        <v>38</v>
      </c>
      <c r="C13" s="36">
        <v>3366655.8588</v>
      </c>
      <c r="D13" s="8" t="s">
        <v>3</v>
      </c>
      <c r="E13" s="1"/>
    </row>
    <row r="14" spans="1:5" x14ac:dyDescent="0.25">
      <c r="A14" s="1"/>
      <c r="B14" s="95" t="s">
        <v>27</v>
      </c>
      <c r="C14" s="9">
        <v>0</v>
      </c>
      <c r="D14" s="8" t="s">
        <v>3</v>
      </c>
      <c r="E14" s="1"/>
    </row>
    <row r="15" spans="1:5" x14ac:dyDescent="0.25">
      <c r="A15" s="1"/>
      <c r="B15" s="95" t="s">
        <v>26</v>
      </c>
      <c r="C15" s="9">
        <v>0</v>
      </c>
      <c r="D15" s="8" t="s">
        <v>3</v>
      </c>
      <c r="E15" s="1"/>
    </row>
    <row r="16" spans="1:5" x14ac:dyDescent="0.25">
      <c r="A16" s="1"/>
      <c r="B16" s="95" t="s">
        <v>104</v>
      </c>
      <c r="C16" s="9">
        <v>0</v>
      </c>
      <c r="D16" s="8" t="s">
        <v>3</v>
      </c>
      <c r="E16" s="1"/>
    </row>
    <row r="17" spans="1:5" x14ac:dyDescent="0.25">
      <c r="A17" s="1"/>
      <c r="B17" s="95" t="s">
        <v>105</v>
      </c>
      <c r="C17" s="9">
        <v>0</v>
      </c>
      <c r="D17" s="8" t="s">
        <v>3</v>
      </c>
      <c r="E17" s="1"/>
    </row>
    <row r="18" spans="1:5" x14ac:dyDescent="0.25">
      <c r="A18" s="1"/>
      <c r="B18" s="95" t="s">
        <v>19</v>
      </c>
      <c r="C18" s="9">
        <v>513484.1893868745</v>
      </c>
      <c r="D18" s="8" t="s">
        <v>3</v>
      </c>
      <c r="E18" s="1"/>
    </row>
    <row r="19" spans="1:5" x14ac:dyDescent="0.25">
      <c r="A19" s="1"/>
      <c r="B19" s="95" t="s">
        <v>10</v>
      </c>
      <c r="C19" s="9">
        <v>-782840.50544414041</v>
      </c>
      <c r="D19" s="8" t="s">
        <v>3</v>
      </c>
      <c r="E19" s="1"/>
    </row>
    <row r="20" spans="1:5" x14ac:dyDescent="0.25">
      <c r="A20" s="1"/>
      <c r="B20" s="95" t="s">
        <v>24</v>
      </c>
      <c r="C20" s="9">
        <v>-408880.88373999053</v>
      </c>
      <c r="D20" s="8" t="s">
        <v>3</v>
      </c>
      <c r="E20" s="38"/>
    </row>
    <row r="21" spans="1:5" x14ac:dyDescent="0.25">
      <c r="A21" s="1"/>
      <c r="B21" s="95" t="s">
        <v>25</v>
      </c>
      <c r="C21" s="9">
        <v>-1403230.2625325054</v>
      </c>
      <c r="D21" s="8" t="s">
        <v>3</v>
      </c>
      <c r="E21" s="1"/>
    </row>
    <row r="22" spans="1:5" x14ac:dyDescent="0.25">
      <c r="A22" s="1"/>
      <c r="B22" s="88" t="s">
        <v>21</v>
      </c>
      <c r="C22" s="10">
        <v>114885565.69295342</v>
      </c>
      <c r="D22" s="11" t="s">
        <v>3</v>
      </c>
      <c r="E22" s="1"/>
    </row>
    <row r="23" spans="1:5" x14ac:dyDescent="0.25">
      <c r="A23" s="1"/>
      <c r="B23" s="30" t="s">
        <v>12</v>
      </c>
      <c r="C23" s="31"/>
      <c r="D23" s="19"/>
      <c r="E23" s="1"/>
    </row>
    <row r="24" spans="1:5" x14ac:dyDescent="0.25">
      <c r="A24" s="1"/>
      <c r="B24" s="96" t="s">
        <v>12</v>
      </c>
      <c r="C24" s="10">
        <v>53429213.052914232</v>
      </c>
      <c r="D24" s="11" t="s">
        <v>3</v>
      </c>
      <c r="E24" s="1"/>
    </row>
    <row r="25" spans="1:5" x14ac:dyDescent="0.25">
      <c r="A25" s="1"/>
      <c r="B25" s="30" t="s">
        <v>70</v>
      </c>
      <c r="C25" s="31"/>
      <c r="D25" s="19"/>
      <c r="E25" s="1"/>
    </row>
    <row r="26" spans="1:5" x14ac:dyDescent="0.25">
      <c r="A26" s="1"/>
      <c r="B26" s="88" t="s">
        <v>70</v>
      </c>
      <c r="C26" s="10">
        <v>0</v>
      </c>
      <c r="D26" s="11" t="s">
        <v>3</v>
      </c>
      <c r="E26" s="1"/>
    </row>
    <row r="27" spans="1:5" x14ac:dyDescent="0.25">
      <c r="A27" s="1"/>
      <c r="B27" s="30" t="s">
        <v>69</v>
      </c>
      <c r="C27" s="31"/>
      <c r="D27" s="19"/>
      <c r="E27" s="1"/>
    </row>
    <row r="28" spans="1:5" x14ac:dyDescent="0.25">
      <c r="A28" s="1"/>
      <c r="B28" s="95" t="s">
        <v>65</v>
      </c>
      <c r="C28" s="9">
        <v>2419176.4210929601</v>
      </c>
      <c r="D28" s="8" t="s">
        <v>3</v>
      </c>
      <c r="E28" s="1"/>
    </row>
    <row r="29" spans="1:5" x14ac:dyDescent="0.25">
      <c r="A29" s="1"/>
      <c r="B29" s="95" t="s">
        <v>66</v>
      </c>
      <c r="C29" s="9">
        <v>0</v>
      </c>
      <c r="D29" s="8" t="s">
        <v>3</v>
      </c>
      <c r="E29" s="1"/>
    </row>
    <row r="30" spans="1:5" x14ac:dyDescent="0.25">
      <c r="A30" s="1"/>
      <c r="B30" s="95" t="s">
        <v>185</v>
      </c>
      <c r="C30" s="9">
        <v>-64503.897441777211</v>
      </c>
      <c r="D30" s="8" t="s">
        <v>3</v>
      </c>
      <c r="E30" s="1"/>
    </row>
    <row r="31" spans="1:5" x14ac:dyDescent="0.25">
      <c r="A31" s="1"/>
      <c r="B31" s="37" t="s">
        <v>186</v>
      </c>
      <c r="C31" s="9">
        <v>0</v>
      </c>
      <c r="D31" s="8" t="s">
        <v>3</v>
      </c>
      <c r="E31" s="1"/>
    </row>
    <row r="32" spans="1:5" x14ac:dyDescent="0.25">
      <c r="A32" s="1"/>
      <c r="B32" s="88" t="s">
        <v>71</v>
      </c>
      <c r="C32" s="10">
        <v>2354672.5236511827</v>
      </c>
      <c r="D32" s="11" t="s">
        <v>3</v>
      </c>
      <c r="E32" s="1"/>
    </row>
    <row r="33" spans="1:5" x14ac:dyDescent="0.25">
      <c r="A33" s="1"/>
      <c r="B33" s="30" t="s">
        <v>273</v>
      </c>
      <c r="C33" s="31"/>
      <c r="D33" s="19"/>
      <c r="E33" s="1"/>
    </row>
    <row r="34" spans="1:5" x14ac:dyDescent="0.25">
      <c r="A34" s="1"/>
      <c r="B34" s="96" t="s">
        <v>273</v>
      </c>
      <c r="C34" s="10">
        <v>-2081585</v>
      </c>
      <c r="D34" s="11" t="s">
        <v>3</v>
      </c>
      <c r="E34" s="1"/>
    </row>
    <row r="35" spans="1:5" x14ac:dyDescent="0.25">
      <c r="A35" s="1"/>
      <c r="B35" s="30" t="s">
        <v>119</v>
      </c>
      <c r="C35" s="31"/>
      <c r="D35" s="19"/>
      <c r="E35" s="1"/>
    </row>
    <row r="36" spans="1:5" x14ac:dyDescent="0.25">
      <c r="A36" s="1"/>
      <c r="B36" s="96" t="s">
        <v>163</v>
      </c>
      <c r="C36" s="10">
        <v>0</v>
      </c>
      <c r="D36" s="11" t="s">
        <v>3</v>
      </c>
      <c r="E36" s="1"/>
    </row>
    <row r="37" spans="1:5" x14ac:dyDescent="0.25">
      <c r="A37" s="1"/>
      <c r="B37" s="117" t="s">
        <v>155</v>
      </c>
      <c r="C37" s="118"/>
      <c r="D37" s="119"/>
      <c r="E37" s="1"/>
    </row>
    <row r="38" spans="1:5" x14ac:dyDescent="0.25">
      <c r="A38" s="1"/>
      <c r="B38" s="69" t="s">
        <v>156</v>
      </c>
      <c r="C38" s="10">
        <v>0</v>
      </c>
      <c r="D38" s="11" t="s">
        <v>3</v>
      </c>
      <c r="E38" s="1"/>
    </row>
    <row r="39" spans="1:5" x14ac:dyDescent="0.25">
      <c r="A39" s="1"/>
      <c r="B39" s="30" t="s">
        <v>274</v>
      </c>
      <c r="C39" s="12">
        <v>168587866.26951885</v>
      </c>
      <c r="D39" s="13" t="s">
        <v>3</v>
      </c>
      <c r="E39" s="1"/>
    </row>
    <row r="40" spans="1:5" ht="30" customHeight="1" x14ac:dyDescent="0.25">
      <c r="A40" s="1"/>
      <c r="B40" s="121" t="s">
        <v>275</v>
      </c>
      <c r="C40" s="121"/>
      <c r="D40" s="12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row r="50" spans="1:5" x14ac:dyDescent="0.25">
      <c r="A50" s="39"/>
      <c r="B50" s="39"/>
      <c r="C50" s="39"/>
      <c r="D50" s="39"/>
    </row>
  </sheetData>
  <sheetProtection algorithmName="SHA-512" hashValue="sVXOwDFcl3wC6U3Dys6UiSxmN1oaxxgSR7soYXlL6C0sj5nBa+0WT/qHNktIxgN92ALrLxW+bAQ2fpsDHmisDA==" saltValue="7fHFPXa13+itZcvyLTsR2g=="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2" t="s">
        <v>90</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37" t="s">
        <v>132</v>
      </c>
      <c r="C4" s="138"/>
      <c r="D4" s="138"/>
      <c r="E4" s="138"/>
      <c r="F4" s="138"/>
      <c r="G4" s="138"/>
      <c r="H4" s="139"/>
      <c r="I4" s="1"/>
    </row>
    <row r="5" spans="1:9" x14ac:dyDescent="0.25">
      <c r="A5" s="1"/>
      <c r="B5" s="123" t="s">
        <v>133</v>
      </c>
      <c r="C5" s="124"/>
      <c r="D5" s="124"/>
      <c r="E5" s="124"/>
      <c r="F5" s="125"/>
      <c r="G5" s="57">
        <v>19267641</v>
      </c>
      <c r="H5" s="58" t="s">
        <v>3</v>
      </c>
      <c r="I5" s="1"/>
    </row>
    <row r="6" spans="1:9" ht="15" customHeight="1" x14ac:dyDescent="0.25">
      <c r="A6" s="1"/>
      <c r="B6" s="132" t="s">
        <v>134</v>
      </c>
      <c r="C6" s="133"/>
      <c r="D6" s="133"/>
      <c r="E6" s="133"/>
      <c r="F6" s="134"/>
      <c r="G6" s="71">
        <v>0</v>
      </c>
      <c r="H6" s="58" t="s">
        <v>3</v>
      </c>
      <c r="I6" s="1"/>
    </row>
    <row r="7" spans="1:9" x14ac:dyDescent="0.25">
      <c r="A7" s="1"/>
      <c r="B7" s="123" t="s">
        <v>135</v>
      </c>
      <c r="C7" s="124"/>
      <c r="D7" s="124"/>
      <c r="E7" s="124"/>
      <c r="F7" s="125"/>
      <c r="G7" s="57">
        <f>SUM(G5:G6)*'Fane 15. Nøgletal'!C33</f>
        <v>385352.82</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29" t="s">
        <v>47</v>
      </c>
      <c r="C10" s="130"/>
      <c r="D10" s="130"/>
      <c r="E10" s="130"/>
      <c r="F10" s="130"/>
      <c r="G10" s="130"/>
      <c r="H10" s="131"/>
      <c r="I10" s="1"/>
    </row>
    <row r="11" spans="1:9" x14ac:dyDescent="0.25">
      <c r="A11" s="1"/>
      <c r="B11" s="123" t="s">
        <v>136</v>
      </c>
      <c r="C11" s="124"/>
      <c r="D11" s="124"/>
      <c r="E11" s="124"/>
      <c r="F11" s="125"/>
      <c r="G11" s="57">
        <f>(G5-G7)*(1+'Fane 15. Nøgletal'!C10)</f>
        <v>19212728.22315</v>
      </c>
      <c r="H11" s="58" t="s">
        <v>3</v>
      </c>
      <c r="I11" s="1"/>
    </row>
    <row r="12" spans="1:9" x14ac:dyDescent="0.25">
      <c r="A12" s="1"/>
      <c r="B12" s="123" t="s">
        <v>101</v>
      </c>
      <c r="C12" s="124"/>
      <c r="D12" s="124"/>
      <c r="E12" s="124"/>
      <c r="F12" s="125"/>
      <c r="G12" s="71">
        <v>-0.4524358685780317</v>
      </c>
      <c r="H12" s="58" t="s">
        <v>3</v>
      </c>
      <c r="I12" s="1"/>
    </row>
    <row r="13" spans="1:9" x14ac:dyDescent="0.25">
      <c r="A13" s="1"/>
      <c r="B13" s="132" t="s">
        <v>99</v>
      </c>
      <c r="C13" s="133"/>
      <c r="D13" s="133"/>
      <c r="E13" s="133"/>
      <c r="F13" s="134"/>
      <c r="G13" s="71">
        <v>0</v>
      </c>
      <c r="H13" s="58" t="s">
        <v>3</v>
      </c>
      <c r="I13" s="1"/>
    </row>
    <row r="14" spans="1:9" x14ac:dyDescent="0.25">
      <c r="A14" s="1"/>
      <c r="B14" s="140" t="s">
        <v>137</v>
      </c>
      <c r="C14" s="135"/>
      <c r="D14" s="135"/>
      <c r="E14" s="135"/>
      <c r="F14" s="136"/>
      <c r="G14" s="71">
        <v>0</v>
      </c>
      <c r="H14" s="58" t="s">
        <v>3</v>
      </c>
      <c r="I14" s="1"/>
    </row>
    <row r="15" spans="1:9" x14ac:dyDescent="0.25">
      <c r="A15" s="1"/>
      <c r="B15" s="123" t="s">
        <v>40</v>
      </c>
      <c r="C15" s="124"/>
      <c r="D15" s="124"/>
      <c r="E15" s="124"/>
      <c r="F15" s="125"/>
      <c r="G15" s="57">
        <f>SUM(G11:G14)*'Fane 15. Nøgletal'!C33</f>
        <v>384254.5554142826</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29" t="s">
        <v>48</v>
      </c>
      <c r="C18" s="130"/>
      <c r="D18" s="130"/>
      <c r="E18" s="130"/>
      <c r="F18" s="130"/>
      <c r="G18" s="130"/>
      <c r="H18" s="131"/>
      <c r="I18" s="1"/>
    </row>
    <row r="19" spans="1:9" x14ac:dyDescent="0.25">
      <c r="A19" s="1"/>
      <c r="B19" s="123" t="s">
        <v>41</v>
      </c>
      <c r="C19" s="124"/>
      <c r="D19" s="124"/>
      <c r="E19" s="124"/>
      <c r="F19" s="125"/>
      <c r="G19" s="57">
        <f>(G11+G12+G14-G15)*(1+'Fane 15. Nøgletal'!C10)</f>
        <v>19157971.496567596</v>
      </c>
      <c r="H19" s="58" t="s">
        <v>3</v>
      </c>
      <c r="I19" s="1"/>
    </row>
    <row r="20" spans="1:9" x14ac:dyDescent="0.25">
      <c r="A20" s="1"/>
      <c r="B20" s="140" t="s">
        <v>42</v>
      </c>
      <c r="C20" s="135"/>
      <c r="D20" s="135"/>
      <c r="E20" s="135"/>
      <c r="F20" s="136"/>
      <c r="G20" s="71">
        <v>0</v>
      </c>
      <c r="H20" s="58" t="s">
        <v>3</v>
      </c>
      <c r="I20" s="1"/>
    </row>
    <row r="21" spans="1:9" x14ac:dyDescent="0.25">
      <c r="A21" s="1"/>
      <c r="B21" s="123" t="s">
        <v>43</v>
      </c>
      <c r="C21" s="124"/>
      <c r="D21" s="124"/>
      <c r="E21" s="124"/>
      <c r="F21" s="125"/>
      <c r="G21" s="57">
        <f>(G19+G20)*'Fane 15. Nøgletal'!C33</f>
        <v>383159.42993135192</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29" t="s">
        <v>49</v>
      </c>
      <c r="C24" s="130"/>
      <c r="D24" s="130"/>
      <c r="E24" s="130"/>
      <c r="F24" s="130"/>
      <c r="G24" s="130"/>
      <c r="H24" s="131"/>
      <c r="I24" s="1"/>
    </row>
    <row r="25" spans="1:9" x14ac:dyDescent="0.25">
      <c r="A25" s="1"/>
      <c r="B25" s="123" t="s">
        <v>44</v>
      </c>
      <c r="C25" s="124"/>
      <c r="D25" s="124"/>
      <c r="E25" s="124"/>
      <c r="F25" s="125"/>
      <c r="G25" s="57">
        <f>G19*(1-'Fane 15. Nøgletal'!C33)*(1+'Fane 15. Nøgletal'!C10)+G20*(1-'Fane 15. Nøgletal'!C33)*(1+'Fane 15. Nøgletal'!C11)</f>
        <v>19103371.277802378</v>
      </c>
      <c r="H25" s="58" t="s">
        <v>3</v>
      </c>
      <c r="I25" s="1"/>
    </row>
    <row r="26" spans="1:9" x14ac:dyDescent="0.25">
      <c r="A26" s="1"/>
      <c r="B26" s="126" t="s">
        <v>138</v>
      </c>
      <c r="C26" s="127"/>
      <c r="D26" s="127"/>
      <c r="E26" s="127"/>
      <c r="F26" s="128"/>
      <c r="G26" s="71">
        <v>0</v>
      </c>
      <c r="H26" s="58" t="s">
        <v>3</v>
      </c>
      <c r="I26" s="1"/>
    </row>
    <row r="27" spans="1:9" x14ac:dyDescent="0.25">
      <c r="A27" s="1"/>
      <c r="B27" s="140" t="s">
        <v>45</v>
      </c>
      <c r="C27" s="135"/>
      <c r="D27" s="135"/>
      <c r="E27" s="135"/>
      <c r="F27" s="136"/>
      <c r="G27" s="71">
        <v>0</v>
      </c>
      <c r="H27" s="58" t="s">
        <v>3</v>
      </c>
      <c r="I27" s="1"/>
    </row>
    <row r="28" spans="1:9" x14ac:dyDescent="0.25">
      <c r="A28" s="1"/>
      <c r="B28" s="123" t="s">
        <v>46</v>
      </c>
      <c r="C28" s="124"/>
      <c r="D28" s="124"/>
      <c r="E28" s="124"/>
      <c r="F28" s="125"/>
      <c r="G28" s="57">
        <f>SUM(G25,G27)*'Fane 15. Nøgletal'!C33</f>
        <v>382067.42555604759</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29" t="s">
        <v>50</v>
      </c>
      <c r="C31" s="130"/>
      <c r="D31" s="130"/>
      <c r="E31" s="130"/>
      <c r="F31" s="130"/>
      <c r="G31" s="130"/>
      <c r="H31" s="131"/>
      <c r="I31" s="1"/>
    </row>
    <row r="32" spans="1:9" x14ac:dyDescent="0.25">
      <c r="A32" s="1"/>
      <c r="B32" s="123" t="s">
        <v>51</v>
      </c>
      <c r="C32" s="124"/>
      <c r="D32" s="124"/>
      <c r="E32" s="124"/>
      <c r="F32" s="125"/>
      <c r="G32" s="57">
        <f>(G25-G26)*(1-'Fane 15. Nøgletal'!C33)*(1+'Fane 15. Nøgletal'!C10)+G26*(1-'Fane 15. Nøgletal'!C33)*(1+'Fane 15. Nøgletal'!C11)+G27*(1-'Fane 15. Nøgletal'!C33)*(1+'Fane 15. Nøgletal'!C12)</f>
        <v>19048926.669660643</v>
      </c>
      <c r="H32" s="58" t="s">
        <v>3</v>
      </c>
      <c r="I32" s="1"/>
    </row>
    <row r="33" spans="1:9" x14ac:dyDescent="0.25">
      <c r="A33" s="1"/>
      <c r="B33" s="126" t="s">
        <v>138</v>
      </c>
      <c r="C33" s="135"/>
      <c r="D33" s="135"/>
      <c r="E33" s="135"/>
      <c r="F33" s="136"/>
      <c r="G33" s="71">
        <v>0</v>
      </c>
      <c r="H33" s="58" t="s">
        <v>3</v>
      </c>
      <c r="I33" s="1"/>
    </row>
    <row r="34" spans="1:9" x14ac:dyDescent="0.25">
      <c r="A34" s="1"/>
      <c r="B34" s="126" t="s">
        <v>98</v>
      </c>
      <c r="C34" s="135"/>
      <c r="D34" s="135"/>
      <c r="E34" s="135"/>
      <c r="F34" s="136"/>
      <c r="G34" s="71">
        <v>0</v>
      </c>
      <c r="H34" s="58" t="s">
        <v>3</v>
      </c>
      <c r="I34" s="1"/>
    </row>
    <row r="35" spans="1:9" x14ac:dyDescent="0.25">
      <c r="A35" s="1"/>
      <c r="B35" s="123" t="s">
        <v>114</v>
      </c>
      <c r="C35" s="124"/>
      <c r="D35" s="124"/>
      <c r="E35" s="124"/>
      <c r="F35" s="125"/>
      <c r="G35" s="71">
        <v>1171534.71478176</v>
      </c>
      <c r="H35" s="58" t="s">
        <v>3</v>
      </c>
      <c r="I35" s="1"/>
    </row>
    <row r="36" spans="1:9" x14ac:dyDescent="0.25">
      <c r="A36" s="1"/>
      <c r="B36" s="123" t="s">
        <v>52</v>
      </c>
      <c r="C36" s="124"/>
      <c r="D36" s="124"/>
      <c r="E36" s="124"/>
      <c r="F36" s="125"/>
      <c r="G36" s="57">
        <f>SUM(G32,G35)*'Fane 15. Nøgletal'!C33</f>
        <v>404409.2276888481</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29" t="s">
        <v>124</v>
      </c>
      <c r="C39" s="130"/>
      <c r="D39" s="130"/>
      <c r="E39" s="130"/>
      <c r="F39" s="130"/>
      <c r="G39" s="130"/>
      <c r="H39" s="131"/>
      <c r="I39" s="1"/>
    </row>
    <row r="40" spans="1:9" x14ac:dyDescent="0.25">
      <c r="A40" s="1"/>
      <c r="B40" s="123" t="s">
        <v>144</v>
      </c>
      <c r="C40" s="124"/>
      <c r="D40" s="124"/>
      <c r="E40" s="124"/>
      <c r="F40" s="125"/>
      <c r="G40" s="57">
        <f>(SUM(G32,G35)-G36)*(1+'Fane 15. Nøgletal'!C14)</f>
        <v>19881445.128870845</v>
      </c>
      <c r="H40" s="58" t="s">
        <v>3</v>
      </c>
      <c r="I40" s="1"/>
    </row>
    <row r="41" spans="1:9" x14ac:dyDescent="0.25">
      <c r="A41" s="1"/>
      <c r="B41" s="123" t="s">
        <v>143</v>
      </c>
      <c r="C41" s="124"/>
      <c r="D41" s="124"/>
      <c r="E41" s="124"/>
      <c r="F41" s="125"/>
      <c r="G41" s="72">
        <v>299796.90814692003</v>
      </c>
      <c r="H41" s="58" t="s">
        <v>3</v>
      </c>
      <c r="I41" s="1"/>
    </row>
    <row r="42" spans="1:9" x14ac:dyDescent="0.25">
      <c r="A42" s="1"/>
      <c r="B42" s="123" t="s">
        <v>142</v>
      </c>
      <c r="C42" s="124"/>
      <c r="D42" s="124"/>
      <c r="E42" s="124"/>
      <c r="F42" s="125"/>
      <c r="G42" s="57">
        <f>(G40+G41)*'Fane 15. Nøgletal'!C33</f>
        <v>403624.84074035531</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29" t="s">
        <v>131</v>
      </c>
      <c r="C45" s="130"/>
      <c r="D45" s="130"/>
      <c r="E45" s="130"/>
      <c r="F45" s="130"/>
      <c r="G45" s="130"/>
      <c r="H45" s="131"/>
      <c r="I45" s="1"/>
    </row>
    <row r="46" spans="1:9" x14ac:dyDescent="0.25">
      <c r="A46" s="1"/>
      <c r="B46" s="123" t="s">
        <v>152</v>
      </c>
      <c r="C46" s="124"/>
      <c r="D46" s="124"/>
      <c r="E46" s="124"/>
      <c r="F46" s="125"/>
      <c r="G46" s="57">
        <f>(G40+G41-G42)*(1+'Fane 15. Nøgletal'!C14)</f>
        <v>19842883.333025128</v>
      </c>
      <c r="H46" s="58" t="s">
        <v>3</v>
      </c>
      <c r="I46" s="1"/>
    </row>
    <row r="47" spans="1:9" x14ac:dyDescent="0.25">
      <c r="A47" s="1"/>
      <c r="B47" s="126" t="s">
        <v>181</v>
      </c>
      <c r="C47" s="127"/>
      <c r="D47" s="127"/>
      <c r="E47" s="127"/>
      <c r="F47" s="128"/>
      <c r="G47" s="63">
        <v>601160.85397440009</v>
      </c>
      <c r="H47" s="58" t="s">
        <v>3</v>
      </c>
      <c r="I47" s="1"/>
    </row>
    <row r="48" spans="1:9" x14ac:dyDescent="0.25">
      <c r="A48" s="1"/>
      <c r="B48" s="123" t="s">
        <v>153</v>
      </c>
      <c r="C48" s="124"/>
      <c r="D48" s="124"/>
      <c r="E48" s="124"/>
      <c r="F48" s="125"/>
      <c r="G48" s="57">
        <f>G46*'Fane 15. Nøgletal'!C33+'Fane 4.1. Gen. krav - drift'!G47*'Fane 15. Nøgletal'!C33</f>
        <v>408880.88373999053</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29" t="s">
        <v>253</v>
      </c>
      <c r="C52" s="130"/>
      <c r="D52" s="130"/>
      <c r="E52" s="130"/>
      <c r="F52" s="130"/>
      <c r="G52" s="130"/>
      <c r="H52" s="131"/>
      <c r="I52" s="1"/>
    </row>
    <row r="53" spans="1:9" x14ac:dyDescent="0.25">
      <c r="A53" s="1"/>
      <c r="B53" s="123" t="s">
        <v>115</v>
      </c>
      <c r="C53" s="124"/>
      <c r="D53" s="124"/>
      <c r="E53" s="124"/>
      <c r="F53" s="125"/>
      <c r="G53" s="57">
        <f>(G46+G47-G48)*(1+'Fane 15. Nøgletal'!C16)</f>
        <v>21654004.49816291</v>
      </c>
      <c r="H53" s="58" t="s">
        <v>3</v>
      </c>
      <c r="I53" s="1"/>
    </row>
    <row r="54" spans="1:9" x14ac:dyDescent="0.25">
      <c r="A54" s="1"/>
      <c r="B54" s="126" t="s">
        <v>243</v>
      </c>
      <c r="C54" s="127"/>
      <c r="D54" s="127"/>
      <c r="E54" s="127"/>
      <c r="F54" s="128"/>
      <c r="G54" s="63">
        <f>('Fane 2.1. Økonomisk ramme 2024'!C10+'Fane 2.1. Økonomisk ramme 2024'!C14+'Fane 2.1. Økonomisk ramme 2024'!C12)*(1+'Fane 15. Nøgletal'!C16)</f>
        <v>997599.96455391997</v>
      </c>
      <c r="H54" s="58" t="s">
        <v>3</v>
      </c>
      <c r="I54" s="1"/>
    </row>
    <row r="55" spans="1:9" x14ac:dyDescent="0.25">
      <c r="A55" s="1"/>
      <c r="B55" s="123" t="s">
        <v>116</v>
      </c>
      <c r="C55" s="124"/>
      <c r="D55" s="124"/>
      <c r="E55" s="124"/>
      <c r="F55" s="125"/>
      <c r="G55" s="57">
        <f>(G53+G54)*'Fane 15. Nøgletal'!C33</f>
        <v>453032.08925433661</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79" t="s">
        <v>254</v>
      </c>
      <c r="C58" s="80"/>
      <c r="D58" s="80"/>
      <c r="E58" s="80"/>
      <c r="F58" s="80"/>
      <c r="G58" s="65"/>
      <c r="H58" s="81"/>
      <c r="I58" s="1"/>
    </row>
    <row r="59" spans="1:9" x14ac:dyDescent="0.25">
      <c r="A59" s="1"/>
      <c r="B59" s="76" t="s">
        <v>139</v>
      </c>
      <c r="C59" s="77"/>
      <c r="D59" s="77"/>
      <c r="E59" s="77"/>
      <c r="F59" s="78"/>
      <c r="G59" s="57">
        <f>(G53+G54-G55)*(1+'Fane 15. Nøgletal'!C16)</f>
        <v>23992217.02123826</v>
      </c>
      <c r="H59" s="58" t="s">
        <v>3</v>
      </c>
      <c r="I59" s="1"/>
    </row>
    <row r="60" spans="1:9" x14ac:dyDescent="0.25">
      <c r="A60" s="1"/>
      <c r="B60" s="76" t="s">
        <v>140</v>
      </c>
      <c r="C60" s="77"/>
      <c r="D60" s="77"/>
      <c r="E60" s="77"/>
      <c r="F60" s="78"/>
      <c r="G60" s="57">
        <f>(G59)*'Fane 15. Nøgletal'!C33</f>
        <v>479844.34042476519</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79" t="s">
        <v>166</v>
      </c>
      <c r="C63" s="80"/>
      <c r="D63" s="80"/>
      <c r="E63" s="80"/>
      <c r="F63" s="80"/>
      <c r="G63" s="65"/>
      <c r="H63" s="81"/>
      <c r="I63" s="1"/>
    </row>
    <row r="64" spans="1:9" x14ac:dyDescent="0.25">
      <c r="A64" s="1"/>
      <c r="B64" s="76" t="s">
        <v>167</v>
      </c>
      <c r="C64" s="77"/>
      <c r="D64" s="77"/>
      <c r="E64" s="77"/>
      <c r="F64" s="78"/>
      <c r="G64" s="57">
        <f>(G59-G60)*(1+'Fane 15. Nøgletal'!C16)</f>
        <v>25412172.393423226</v>
      </c>
      <c r="H64" s="58" t="s">
        <v>3</v>
      </c>
      <c r="I64" s="1"/>
    </row>
    <row r="65" spans="1:9" x14ac:dyDescent="0.25">
      <c r="A65" s="1"/>
      <c r="B65" s="76" t="s">
        <v>168</v>
      </c>
      <c r="C65" s="77"/>
      <c r="D65" s="77"/>
      <c r="E65" s="77"/>
      <c r="F65" s="78"/>
      <c r="G65" s="57">
        <f>(G64)*'Fane 15. Nøgletal'!C33</f>
        <v>508243.44786846451</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79" t="s">
        <v>242</v>
      </c>
      <c r="C68" s="80"/>
      <c r="D68" s="80"/>
      <c r="E68" s="80"/>
      <c r="F68" s="80"/>
      <c r="G68" s="65"/>
      <c r="H68" s="81"/>
      <c r="I68" s="1"/>
    </row>
    <row r="69" spans="1:9" x14ac:dyDescent="0.25">
      <c r="A69" s="1"/>
      <c r="B69" s="76" t="s">
        <v>227</v>
      </c>
      <c r="C69" s="77"/>
      <c r="D69" s="77"/>
      <c r="E69" s="77"/>
      <c r="F69" s="78"/>
      <c r="G69" s="57">
        <f>(G64-G65)*(1+'Fane 15. Nøgletal'!C16)</f>
        <v>26916166.404355589</v>
      </c>
      <c r="H69" s="58" t="s">
        <v>3</v>
      </c>
      <c r="I69" s="1"/>
    </row>
    <row r="70" spans="1:9" x14ac:dyDescent="0.25">
      <c r="A70" s="1"/>
      <c r="B70" s="76" t="s">
        <v>228</v>
      </c>
      <c r="C70" s="77"/>
      <c r="D70" s="77"/>
      <c r="E70" s="77"/>
      <c r="F70" s="78"/>
      <c r="G70" s="57">
        <f>(G69)*'Fane 15. Nøgletal'!C33</f>
        <v>538323.32808711182</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09io5x+hcPl39pkMZvw9tmPMYqgWjjl6IBrl+oaM1A86FgKF9srvz8dKUBVG5JvwdGJ5hTdWw2jWf08xno5A2w==" saltValue="V8rqhhb17+k3bYlcUvASAA==" spinCount="100000" sheet="1" objects="1" scenarios="1"/>
  <mergeCells count="38">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5:F55"/>
    <mergeCell ref="B48:F48"/>
    <mergeCell ref="B54:F5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87" zoomScaleNormal="100" zoomScalePageLayoutView="87"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1" t="s">
        <v>89</v>
      </c>
      <c r="C2" s="141"/>
      <c r="D2" s="141"/>
      <c r="E2" s="141"/>
      <c r="F2" s="141"/>
      <c r="G2" s="141"/>
      <c r="H2" s="141"/>
      <c r="I2" s="1"/>
    </row>
    <row r="3" spans="1:9" ht="28.5" customHeight="1" x14ac:dyDescent="0.25">
      <c r="A3" s="1"/>
      <c r="B3" s="141"/>
      <c r="C3" s="141"/>
      <c r="D3" s="141"/>
      <c r="E3" s="141"/>
      <c r="F3" s="141"/>
      <c r="G3" s="141"/>
      <c r="H3" s="141"/>
      <c r="I3" s="1"/>
    </row>
    <row r="4" spans="1:9" ht="18.75" x14ac:dyDescent="0.3">
      <c r="A4" s="1"/>
      <c r="B4" s="25"/>
      <c r="C4" s="25"/>
      <c r="D4" s="25"/>
      <c r="E4" s="25"/>
      <c r="F4" s="25"/>
      <c r="G4" s="25"/>
      <c r="H4" s="25"/>
      <c r="I4" s="1"/>
    </row>
    <row r="5" spans="1:9" x14ac:dyDescent="0.25">
      <c r="A5" s="1"/>
      <c r="B5" s="137" t="s">
        <v>145</v>
      </c>
      <c r="C5" s="138"/>
      <c r="D5" s="138"/>
      <c r="E5" s="138"/>
      <c r="F5" s="138"/>
      <c r="G5" s="138"/>
      <c r="H5" s="139"/>
      <c r="I5" s="1"/>
    </row>
    <row r="6" spans="1:9" x14ac:dyDescent="0.25">
      <c r="A6" s="1"/>
      <c r="B6" s="123" t="s">
        <v>146</v>
      </c>
      <c r="C6" s="124"/>
      <c r="D6" s="124"/>
      <c r="E6" s="124"/>
      <c r="F6" s="125"/>
      <c r="G6" s="71">
        <v>89658264</v>
      </c>
      <c r="H6" s="58" t="s">
        <v>3</v>
      </c>
      <c r="I6" s="1"/>
    </row>
    <row r="7" spans="1:9" x14ac:dyDescent="0.25">
      <c r="A7" s="1"/>
      <c r="B7" s="123" t="s">
        <v>141</v>
      </c>
      <c r="C7" s="124"/>
      <c r="D7" s="124"/>
      <c r="E7" s="124"/>
      <c r="F7" s="125"/>
      <c r="G7" s="57">
        <f>G6*'Fane 15. Nøgletal'!C21</f>
        <v>815890.20240000007</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29" t="s">
        <v>53</v>
      </c>
      <c r="C10" s="130"/>
      <c r="D10" s="130"/>
      <c r="E10" s="130"/>
      <c r="F10" s="130"/>
      <c r="G10" s="130"/>
      <c r="H10" s="131"/>
      <c r="I10" s="1"/>
    </row>
    <row r="11" spans="1:9" x14ac:dyDescent="0.25">
      <c r="A11" s="1"/>
      <c r="B11" s="123" t="s">
        <v>147</v>
      </c>
      <c r="C11" s="124"/>
      <c r="D11" s="124"/>
      <c r="E11" s="124"/>
      <c r="F11" s="125"/>
      <c r="G11" s="57">
        <f>(G6-G7)*(1+'Fane 15. Nøgletal'!C10)</f>
        <v>90397115.339058012</v>
      </c>
      <c r="H11" s="58" t="s">
        <v>3</v>
      </c>
      <c r="I11" s="1"/>
    </row>
    <row r="12" spans="1:9" x14ac:dyDescent="0.25">
      <c r="A12" s="1"/>
      <c r="B12" s="123" t="s">
        <v>102</v>
      </c>
      <c r="C12" s="124"/>
      <c r="D12" s="124"/>
      <c r="E12" s="124"/>
      <c r="F12" s="125"/>
      <c r="G12" s="71">
        <v>-166763.23263240879</v>
      </c>
      <c r="H12" s="58" t="s">
        <v>3</v>
      </c>
      <c r="I12" s="1"/>
    </row>
    <row r="13" spans="1:9" x14ac:dyDescent="0.25">
      <c r="A13" s="1"/>
      <c r="B13" s="140" t="s">
        <v>233</v>
      </c>
      <c r="C13" s="135"/>
      <c r="D13" s="135"/>
      <c r="E13" s="135"/>
      <c r="F13" s="136"/>
      <c r="G13" s="71">
        <v>0</v>
      </c>
      <c r="H13" s="58" t="s">
        <v>3</v>
      </c>
      <c r="I13" s="1"/>
    </row>
    <row r="14" spans="1:9" x14ac:dyDescent="0.25">
      <c r="A14" s="1"/>
      <c r="B14" s="123" t="s">
        <v>54</v>
      </c>
      <c r="C14" s="124"/>
      <c r="D14" s="124"/>
      <c r="E14" s="124"/>
      <c r="F14" s="125"/>
      <c r="G14" s="57">
        <f>SUM(G11:G13)*'Fane 15. Nøgletal'!C22</f>
        <v>1597077.2322837331</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29" t="s">
        <v>55</v>
      </c>
      <c r="C17" s="130"/>
      <c r="D17" s="130"/>
      <c r="E17" s="130"/>
      <c r="F17" s="130"/>
      <c r="G17" s="130"/>
      <c r="H17" s="131"/>
      <c r="I17" s="1"/>
    </row>
    <row r="18" spans="1:9" x14ac:dyDescent="0.25">
      <c r="A18" s="1"/>
      <c r="B18" s="123" t="s">
        <v>56</v>
      </c>
      <c r="C18" s="124"/>
      <c r="D18" s="124"/>
      <c r="E18" s="124"/>
      <c r="F18" s="125"/>
      <c r="G18" s="57">
        <f>(G11+G12+G13-G14)*(1+'Fane 15. Nøgletal'!C10)</f>
        <v>90184357.184439361</v>
      </c>
      <c r="H18" s="58" t="s">
        <v>3</v>
      </c>
      <c r="I18" s="1"/>
    </row>
    <row r="19" spans="1:9" x14ac:dyDescent="0.25">
      <c r="A19" s="1"/>
      <c r="B19" s="140" t="s">
        <v>234</v>
      </c>
      <c r="C19" s="135"/>
      <c r="D19" s="135"/>
      <c r="E19" s="135"/>
      <c r="F19" s="136"/>
      <c r="G19" s="71">
        <v>1197261.2170011697</v>
      </c>
      <c r="H19" s="58" t="s">
        <v>3</v>
      </c>
      <c r="I19" s="1"/>
    </row>
    <row r="20" spans="1:9" x14ac:dyDescent="0.25">
      <c r="A20" s="1"/>
      <c r="B20" s="123" t="s">
        <v>57</v>
      </c>
      <c r="C20" s="124"/>
      <c r="D20" s="124"/>
      <c r="E20" s="124"/>
      <c r="F20" s="125"/>
      <c r="G20" s="57">
        <f>G18*'Fane 15. Nøgletal'!C22+G19*'Fane 15. Nøgletal'!C23</f>
        <v>1606679.294752487</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29" t="s">
        <v>130</v>
      </c>
      <c r="C23" s="130"/>
      <c r="D23" s="130"/>
      <c r="E23" s="130"/>
      <c r="F23" s="130"/>
      <c r="G23" s="130"/>
      <c r="H23" s="131"/>
      <c r="I23" s="1"/>
    </row>
    <row r="24" spans="1:9" x14ac:dyDescent="0.25">
      <c r="A24" s="1"/>
      <c r="B24" s="123" t="s">
        <v>58</v>
      </c>
      <c r="C24" s="124"/>
      <c r="D24" s="124"/>
      <c r="E24" s="124"/>
      <c r="F24" s="125"/>
      <c r="G24" s="57">
        <f>G18*(1-'Fane 15. Nøgletal'!C22)*(1+'Fane 15. Nøgletal'!C10)+G19*(1-'Fane 15. Nøgletal'!C23)*(1+'Fane 15. Nøgletal'!C11)</f>
        <v>91345288.434028447</v>
      </c>
      <c r="H24" s="58" t="s">
        <v>3</v>
      </c>
      <c r="I24" s="1"/>
    </row>
    <row r="25" spans="1:9" x14ac:dyDescent="0.25">
      <c r="A25" s="1"/>
      <c r="B25" s="126" t="s">
        <v>148</v>
      </c>
      <c r="C25" s="135"/>
      <c r="D25" s="135"/>
      <c r="E25" s="135"/>
      <c r="F25" s="136"/>
      <c r="G25" s="57">
        <f>G19*(1-'Fane 15. Nøgletal'!C23)*(1+'Fane 15. Nøgletal'!C11)</f>
        <v>1206902.7256638436</v>
      </c>
      <c r="H25" s="58" t="s">
        <v>3</v>
      </c>
      <c r="I25" s="1"/>
    </row>
    <row r="26" spans="1:9" x14ac:dyDescent="0.25">
      <c r="A26" s="1"/>
      <c r="B26" s="140" t="s">
        <v>235</v>
      </c>
      <c r="C26" s="135"/>
      <c r="D26" s="135"/>
      <c r="E26" s="135"/>
      <c r="F26" s="136"/>
      <c r="G26" s="71">
        <v>331905.895407537</v>
      </c>
      <c r="H26" s="58" t="s">
        <v>3</v>
      </c>
      <c r="I26" s="1"/>
    </row>
    <row r="27" spans="1:9" x14ac:dyDescent="0.25">
      <c r="A27" s="1"/>
      <c r="B27" s="123" t="s">
        <v>59</v>
      </c>
      <c r="C27" s="124"/>
      <c r="D27" s="124"/>
      <c r="E27" s="124"/>
      <c r="F27" s="125"/>
      <c r="G27" s="57">
        <f>(G24-G25)*'Fane 15. Nøgletal'!C23+G25*'Fane 15. Nøgletal'!C24+G26*'Fane 15. Nøgletal'!C25</f>
        <v>827607.40519533248</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29" t="s">
        <v>60</v>
      </c>
      <c r="C30" s="130"/>
      <c r="D30" s="130"/>
      <c r="E30" s="130"/>
      <c r="F30" s="130"/>
      <c r="G30" s="130"/>
      <c r="H30" s="131"/>
      <c r="I30" s="1"/>
    </row>
    <row r="31" spans="1:9" x14ac:dyDescent="0.25">
      <c r="A31" s="1"/>
      <c r="B31" s="123" t="s">
        <v>61</v>
      </c>
      <c r="C31" s="124"/>
      <c r="D31" s="124"/>
      <c r="E31" s="124"/>
      <c r="F31" s="125"/>
      <c r="G31" s="57">
        <f>(G24-G25)*(1-'Fane 15. Nøgletal'!C22)*(1+'Fane 15. Nøgletal'!C10)+G25*(1-'Fane 15. Nøgletal'!C23)*(1+'Fane 15. Nøgletal'!C11)+G26*(1-'Fane 15. Nøgletal'!C24)*(1+'Fane 15. Nøgletal'!C12)</f>
        <v>91637892.162763432</v>
      </c>
      <c r="H31" s="58" t="s">
        <v>3</v>
      </c>
      <c r="I31" s="1"/>
    </row>
    <row r="32" spans="1:9" x14ac:dyDescent="0.25">
      <c r="A32" s="1"/>
      <c r="B32" s="126" t="s">
        <v>149</v>
      </c>
      <c r="C32" s="135"/>
      <c r="D32" s="135"/>
      <c r="E32" s="135"/>
      <c r="F32" s="136"/>
      <c r="G32" s="57">
        <f>G25*(1-'Fane 15. Nøgletal'!C23)*(1+'Fane 15. Nøgletal'!C11)</f>
        <v>1216621.8771065325</v>
      </c>
      <c r="H32" s="58" t="s">
        <v>3</v>
      </c>
      <c r="I32" s="1"/>
    </row>
    <row r="33" spans="1:9" x14ac:dyDescent="0.25">
      <c r="A33" s="1"/>
      <c r="B33" s="126" t="s">
        <v>97</v>
      </c>
      <c r="C33" s="135"/>
      <c r="D33" s="135"/>
      <c r="E33" s="135"/>
      <c r="F33" s="136"/>
      <c r="G33" s="57">
        <f>G26*(1-'Fane 15. Nøgletal'!C24)*(1+'Fane 15. Nøgletal'!C12)</f>
        <v>328832.61940712883</v>
      </c>
      <c r="H33" s="58" t="s">
        <v>3</v>
      </c>
      <c r="I33" s="1"/>
    </row>
    <row r="34" spans="1:9" x14ac:dyDescent="0.25">
      <c r="A34" s="1"/>
      <c r="B34" s="123" t="s">
        <v>236</v>
      </c>
      <c r="C34" s="124"/>
      <c r="D34" s="124"/>
      <c r="E34" s="124"/>
      <c r="F34" s="125"/>
      <c r="G34" s="71">
        <v>1058655.04633476</v>
      </c>
      <c r="H34" s="58" t="s">
        <v>3</v>
      </c>
      <c r="I34" s="1"/>
    </row>
    <row r="35" spans="1:9" x14ac:dyDescent="0.25">
      <c r="A35" s="1"/>
      <c r="B35" s="123" t="s">
        <v>62</v>
      </c>
      <c r="C35" s="124"/>
      <c r="D35" s="124"/>
      <c r="E35" s="124"/>
      <c r="F35" s="125"/>
      <c r="G35" s="57">
        <f>(G31-SUM(G32:G33))*'Fane 15. Nøgletal'!C22+G32*'Fane 15. Nøgletal'!C23+G33*'Fane 15. Nøgletal'!C24+G34*'Fane 15. Nøgletal'!C25</f>
        <v>1643672.617188816</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29" t="s">
        <v>125</v>
      </c>
      <c r="C38" s="130"/>
      <c r="D38" s="130"/>
      <c r="E38" s="130"/>
      <c r="F38" s="130"/>
      <c r="G38" s="130"/>
      <c r="H38" s="131"/>
      <c r="I38" s="1"/>
    </row>
    <row r="39" spans="1:9" x14ac:dyDescent="0.25">
      <c r="A39" s="1"/>
      <c r="B39" s="123" t="s">
        <v>150</v>
      </c>
      <c r="C39" s="124"/>
      <c r="D39" s="124"/>
      <c r="E39" s="124"/>
      <c r="F39" s="125"/>
      <c r="G39" s="57">
        <f>(SUM(G31,G34)-G35)*(1+'Fane 15. Nøgletal'!C14)</f>
        <v>91353349.078062683</v>
      </c>
      <c r="H39" s="58" t="s">
        <v>3</v>
      </c>
      <c r="I39" s="1"/>
    </row>
    <row r="40" spans="1:9" x14ac:dyDescent="0.25">
      <c r="A40" s="1"/>
      <c r="B40" s="123" t="s">
        <v>237</v>
      </c>
      <c r="C40" s="124"/>
      <c r="D40" s="124"/>
      <c r="E40" s="124"/>
      <c r="F40" s="125"/>
      <c r="G40" s="71">
        <v>4567278.4788118703</v>
      </c>
      <c r="H40" s="58" t="s">
        <v>3</v>
      </c>
      <c r="I40" s="1"/>
    </row>
    <row r="41" spans="1:9" x14ac:dyDescent="0.25">
      <c r="A41" s="1"/>
      <c r="B41" s="123" t="s">
        <v>126</v>
      </c>
      <c r="C41" s="124"/>
      <c r="D41" s="124"/>
      <c r="E41" s="124"/>
      <c r="F41" s="125"/>
      <c r="G41" s="57">
        <f>(G39+G40)*'Fane 15. Nøgletal'!C26</f>
        <v>1419625.2878417436</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29" t="s">
        <v>182</v>
      </c>
      <c r="C44" s="130"/>
      <c r="D44" s="130"/>
      <c r="E44" s="130"/>
      <c r="F44" s="130"/>
      <c r="G44" s="130"/>
      <c r="H44" s="131"/>
      <c r="I44" s="1"/>
    </row>
    <row r="45" spans="1:9" x14ac:dyDescent="0.25">
      <c r="A45" s="1"/>
      <c r="B45" s="123" t="s">
        <v>63</v>
      </c>
      <c r="C45" s="124"/>
      <c r="D45" s="124"/>
      <c r="E45" s="124"/>
      <c r="F45" s="125"/>
      <c r="G45" s="57">
        <f>(G39+G40-G41)*(1+'Fane 15. Nøgletal'!C14)</f>
        <v>94812855.576520637</v>
      </c>
      <c r="H45" s="58" t="s">
        <v>3</v>
      </c>
      <c r="I45" s="1"/>
    </row>
    <row r="46" spans="1:9" x14ac:dyDescent="0.25">
      <c r="A46" s="1"/>
      <c r="B46" s="126" t="s">
        <v>184</v>
      </c>
      <c r="C46" s="127"/>
      <c r="D46" s="127"/>
      <c r="E46" s="127"/>
      <c r="F46" s="128"/>
      <c r="G46" s="63">
        <v>3486508.8073732802</v>
      </c>
      <c r="H46" s="58" t="s">
        <v>3</v>
      </c>
      <c r="I46" s="1"/>
    </row>
    <row r="47" spans="1:9" x14ac:dyDescent="0.25">
      <c r="A47" s="1"/>
      <c r="B47" s="123" t="s">
        <v>154</v>
      </c>
      <c r="C47" s="124"/>
      <c r="D47" s="124"/>
      <c r="E47" s="124"/>
      <c r="F47" s="125"/>
      <c r="G47" s="57">
        <f>G45*'Fane 15. Nøgletal'!C26+G46*'Fane 15. Nøgletal'!C27</f>
        <v>1403230.2625325054</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7" t="s">
        <v>255</v>
      </c>
      <c r="C50" s="138"/>
      <c r="D50" s="138"/>
      <c r="E50" s="138"/>
      <c r="F50" s="138"/>
      <c r="G50" s="138"/>
      <c r="H50" s="139"/>
      <c r="I50" s="1"/>
    </row>
    <row r="51" spans="1:9" x14ac:dyDescent="0.25">
      <c r="A51" s="1"/>
      <c r="B51" s="123" t="s">
        <v>117</v>
      </c>
      <c r="C51" s="124"/>
      <c r="D51" s="124"/>
      <c r="E51" s="124"/>
      <c r="F51" s="125"/>
      <c r="G51" s="57">
        <f>(G45+G46-G47)*(1+'Fane 15. Nøgletal'!C16)</f>
        <v>104725341.75836742</v>
      </c>
      <c r="H51" s="58" t="s">
        <v>3</v>
      </c>
      <c r="I51" s="1"/>
    </row>
    <row r="52" spans="1:9" x14ac:dyDescent="0.25">
      <c r="A52" s="1"/>
      <c r="B52" s="126" t="s">
        <v>238</v>
      </c>
      <c r="C52" s="127"/>
      <c r="D52" s="127"/>
      <c r="E52" s="127"/>
      <c r="F52" s="128"/>
      <c r="G52" s="63">
        <f>('Fane 2.1. Økonomisk ramme 2024'!C11+'Fane 2.1. Økonomisk ramme 2024'!C13+'Fane 2.1. Økonomisk ramme 2024'!C15)*(1+'Fane 15. Nøgletal'!C16)</f>
        <v>3908438.6962544001</v>
      </c>
      <c r="H52" s="58" t="s">
        <v>3</v>
      </c>
      <c r="I52" s="1"/>
    </row>
    <row r="53" spans="1:9" x14ac:dyDescent="0.25">
      <c r="A53" s="1"/>
      <c r="B53" s="123" t="s">
        <v>118</v>
      </c>
      <c r="C53" s="124"/>
      <c r="D53" s="124"/>
      <c r="E53" s="124"/>
      <c r="F53" s="125"/>
      <c r="G53" s="71">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29" t="s">
        <v>256</v>
      </c>
      <c r="C56" s="130"/>
      <c r="D56" s="130"/>
      <c r="E56" s="130"/>
      <c r="F56" s="130"/>
      <c r="G56" s="130"/>
      <c r="H56" s="131"/>
      <c r="I56" s="1"/>
    </row>
    <row r="57" spans="1:9" x14ac:dyDescent="0.25">
      <c r="A57" s="1"/>
      <c r="B57" s="123" t="s">
        <v>170</v>
      </c>
      <c r="C57" s="124"/>
      <c r="D57" s="124"/>
      <c r="E57" s="124"/>
      <c r="F57" s="125"/>
      <c r="G57" s="57">
        <f>(G51+G52-G53)*(1+'Fane 15. Nøgletal'!C16)</f>
        <v>117411389.91535527</v>
      </c>
      <c r="H57" s="58" t="s">
        <v>3</v>
      </c>
      <c r="I57" s="1"/>
    </row>
    <row r="58" spans="1:9" x14ac:dyDescent="0.25">
      <c r="A58" s="1"/>
      <c r="B58" s="123" t="s">
        <v>151</v>
      </c>
      <c r="C58" s="124"/>
      <c r="D58" s="124"/>
      <c r="E58" s="124"/>
      <c r="F58" s="125"/>
      <c r="G58" s="71">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29" t="s">
        <v>169</v>
      </c>
      <c r="C61" s="130"/>
      <c r="D61" s="130"/>
      <c r="E61" s="130"/>
      <c r="F61" s="130"/>
      <c r="G61" s="130"/>
      <c r="H61" s="131"/>
      <c r="I61" s="1"/>
    </row>
    <row r="62" spans="1:9" x14ac:dyDescent="0.25">
      <c r="A62" s="1"/>
      <c r="B62" s="123" t="s">
        <v>232</v>
      </c>
      <c r="C62" s="124"/>
      <c r="D62" s="124"/>
      <c r="E62" s="124"/>
      <c r="F62" s="125"/>
      <c r="G62" s="57">
        <f>(G57-G58)*(1+'Fane 15. Nøgletal'!C16)</f>
        <v>126898230.22051597</v>
      </c>
      <c r="H62" s="58" t="s">
        <v>3</v>
      </c>
      <c r="I62" s="1"/>
    </row>
    <row r="63" spans="1:9" x14ac:dyDescent="0.25">
      <c r="A63" s="1"/>
      <c r="B63" s="123" t="s">
        <v>171</v>
      </c>
      <c r="C63" s="124"/>
      <c r="D63" s="124"/>
      <c r="E63" s="124"/>
      <c r="F63" s="125"/>
      <c r="G63" s="71">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29" t="s">
        <v>229</v>
      </c>
      <c r="C66" s="130"/>
      <c r="D66" s="130"/>
      <c r="E66" s="130"/>
      <c r="F66" s="130"/>
      <c r="G66" s="130"/>
      <c r="H66" s="131"/>
      <c r="I66" s="1"/>
    </row>
    <row r="67" spans="1:9" x14ac:dyDescent="0.25">
      <c r="A67" s="1"/>
      <c r="B67" s="123" t="s">
        <v>230</v>
      </c>
      <c r="C67" s="124"/>
      <c r="D67" s="124"/>
      <c r="E67" s="124"/>
      <c r="F67" s="125"/>
      <c r="G67" s="57">
        <f>(G62-G63)*(1+'Fane 15. Nøgletal'!C16)</f>
        <v>137151607.22233364</v>
      </c>
      <c r="H67" s="58" t="s">
        <v>3</v>
      </c>
      <c r="I67" s="1"/>
    </row>
    <row r="68" spans="1:9" x14ac:dyDescent="0.25">
      <c r="A68" s="1"/>
      <c r="B68" s="123" t="s">
        <v>231</v>
      </c>
      <c r="C68" s="124"/>
      <c r="D68" s="124"/>
      <c r="E68" s="124"/>
      <c r="F68" s="125"/>
      <c r="G68" s="71">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2bECLc2MhrblM2DLq6DvtBXd7MdG+m3jKwMeGJOovhVU8Pz1TTMsHeis9K9E+z6v5i5KSrgL1inxNO23MyebFA==" saltValue="Zh4M0NvWwdmMhi8bEi73cw==" spinCount="100000" sheet="1" objects="1" scenarios="1"/>
  <mergeCells count="45">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45:F45"/>
    <mergeCell ref="B57:F57"/>
    <mergeCell ref="B58:F58"/>
    <mergeCell ref="B46:F46"/>
    <mergeCell ref="B51:F51"/>
    <mergeCell ref="B53:F53"/>
    <mergeCell ref="B50:H50"/>
    <mergeCell ref="B47:F47"/>
    <mergeCell ref="B66:H66"/>
    <mergeCell ref="B67:F67"/>
    <mergeCell ref="B68:F68"/>
    <mergeCell ref="B52:F52"/>
    <mergeCell ref="B56:H56"/>
    <mergeCell ref="B61:H61"/>
    <mergeCell ref="B62:F62"/>
    <mergeCell ref="B63:F63"/>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72</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7" t="s">
        <v>10</v>
      </c>
      <c r="C8" s="138"/>
      <c r="D8" s="138"/>
      <c r="E8" s="138"/>
      <c r="F8" s="138"/>
      <c r="G8" s="139"/>
      <c r="H8" s="1"/>
    </row>
    <row r="9" spans="1:8" x14ac:dyDescent="0.25">
      <c r="A9" s="1"/>
      <c r="B9" s="144" t="s">
        <v>278</v>
      </c>
      <c r="C9" s="145"/>
      <c r="D9" s="145"/>
      <c r="E9" s="145"/>
      <c r="F9" s="146"/>
      <c r="G9" s="74">
        <v>0</v>
      </c>
      <c r="H9" s="1"/>
    </row>
    <row r="10" spans="1:8" x14ac:dyDescent="0.25">
      <c r="A10" s="1"/>
      <c r="B10" s="30"/>
      <c r="C10" s="31"/>
      <c r="D10" s="31"/>
      <c r="E10" s="31"/>
      <c r="F10" s="31"/>
      <c r="G10" s="19"/>
      <c r="H10" s="1"/>
    </row>
    <row r="11" spans="1:8" ht="33" customHeight="1" x14ac:dyDescent="0.25">
      <c r="A11" s="1"/>
      <c r="B11" s="142" t="s">
        <v>269</v>
      </c>
      <c r="C11" s="143"/>
      <c r="D11" s="143"/>
      <c r="E11" s="143"/>
      <c r="F11" s="143"/>
      <c r="G11" s="14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qgwDkuH04tkkEjZ0ljrkfmcI+SXPPhDapBPTwTxut9s965kBZQcybKSHVfUPFwpUMKRBGWEdA6cxTSU3s4nmlg==" saltValue="PRH6zCq/n7cDMsDNucCbv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2023-11-14T12:34:13Z</dcterms:modified>
</cp:coreProperties>
</file>