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DIN Forsyning Vand AS (V044)\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32" i="27" l="1"/>
  <c r="C19" i="23"/>
  <c r="C19" i="22"/>
  <c r="C19" i="15"/>
  <c r="C31" i="2"/>
  <c r="G18" i="40" l="1"/>
  <c r="E25" i="32" l="1"/>
  <c r="E29" i="32" s="1"/>
  <c r="E31" i="32" s="1"/>
  <c r="C17" i="15" l="1"/>
  <c r="C29" i="2"/>
  <c r="F10" i="11"/>
  <c r="E12" i="39" l="1"/>
  <c r="C12" i="39"/>
  <c r="E11" i="29"/>
  <c r="E12" i="29" s="1"/>
  <c r="C14" i="2" s="1"/>
  <c r="C11" i="29"/>
  <c r="J11" i="11"/>
  <c r="H11" i="11"/>
  <c r="C17" i="19"/>
  <c r="C18"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<sst xmlns="http://schemas.openxmlformats.org/spreadsheetml/2006/main" count="515" uniqueCount="257">
  <si>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</si>
  <si>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</si>
  <si>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</si>
  <si>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</si>
  <si>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</si>
  <si>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</si>
  <si>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</si>
  <si>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</si>
  <si>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</si>
  <si>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</si>
  <si>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</si>
  <si>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</si>
  <si>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</si>
  <si>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</si>
  <si>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</si>
  <si>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</si>
  <si>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</si>
  <si>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</si>
  <si>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</si>
  <si>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</si>
  <si>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</si>
  <si>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</si>
  <si>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</si>
  <si>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</si>
  <si>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</si>
  <si>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</si>
  <si>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</si>
  <si>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</si>
  <si>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</si>
  <si>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</si>
  <si>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</si>
  <si>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</si>
  <si>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</si>
  <si>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</si>
  <si>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</si>
  <si>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</si>
  <si>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</si>
  <si>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</si>
  <si>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</si>
  <si>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</si>
  <si>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</si>
  <si>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</si>
  <si>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</si>
  <si>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</si>
  <si>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</si>
  <si>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</si>
  <si>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</si>
  <si>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</si>
  <si>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</si>
  <si>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</si>
  <si>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</si>
  <si>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</si>
  <si>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</si>
  <si>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</si>
  <si>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</si>
  <si>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</si>
  <si>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</si>
  <si>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</si>
  <si>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</si>
  <si>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</si>
  <si>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</si>
  <si>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</si>
  <si>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</si>
  <si>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</si>
  <si>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</si>
  <si>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</si>
  <si>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</si>
  <si>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</si>
  <si>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</si>
  <si>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</si>
  <si>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</si>
  <si>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</si>
  <si>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</si>
  <si>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</si>
  <si>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</si>
  <si>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</si>
  <si>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</si>
  <si>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</si>
  <si>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</si>
  <si>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</si>
  <si>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</si>
  <si>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</si>
  <si>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</si>
  <si>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</si>
  <si>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</si>
  <si>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</si>
  <si>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</si>
  <si>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</si>
  <si>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</si>
  <si>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</si>
  <si>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</si>
  <si>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</si>
  <si>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</si>
  <si>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</si>
  <si>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</si>
  <si>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</si>
  <si>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</si>
  <si>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</si>
  <si>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</si>
  <si>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</si>
  <si>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</si>
  <si>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</si>
  <si>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</si>
  <si>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</si>
  <si>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</si>
  <si>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</si>
  <si>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</si>
  <si>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</si>
  <si>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</si>
  <si>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</si>
  <si>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</si>
  <si>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</si>
  <si>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</si>
  <si>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</si>
  <si>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</si>
  <si>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</si>
  <si>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</si>
  <si>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</si>
  <si>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</si>
  <si>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</si>
  <si>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</si>
  <si>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</si>
  <si>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</si>
  <si>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</si>
  <si>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</si>
  <si>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</si>
  <si>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</si>
  <si>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</si>
  <si>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</si>
  <si>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</si>
  <si>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</si>
  <si>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</si>
  <si>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</si>
  <si>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</si>
  <si>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</si>
  <si>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</si>
  <si>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</si>
  <si>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</si>
  <si>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</si>
  <si>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</si>
  <si>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</si>
  <si>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</si>
  <si>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</si>
  <si>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</si>
  <si>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</si>
  <si>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</si>
  <si>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</si>
  <si>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</si>
  <si>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</si>
  <si>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</si>
  <si>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</si>
  <si>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</si>
  <si>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</si>
  <si>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</si>
  <si>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</si>
  <si>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</si>
  <si>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</si>
  <si>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</si>
  <si>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</si>
  <si>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</si>
  <si>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</si>
  <si>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</si>
  <si>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</si>
  <si>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</si>
  <si>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</si>
  <si>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</si>
  <si>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</si>
  <si>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</si>
  <si>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</si>
  <si>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</si>
  <si>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</si>
  <si>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</si>
  <si>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</si>
  <si>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</si>
  <si>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</si>
  <si>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</si>
  <si>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</si>
  <si>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</si>
  <si>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</si>
  <si>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</si>
  <si>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</si>
  <si>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</si>
  <si>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</si>
  <si>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</si>
  <si>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</si>
  <si>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</si>
  <si>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</si>
  <si>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</si>
  <si>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</si>
  <si>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</si>
  <si>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</si>
  <si>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</si>
  <si>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</si>
  <si>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</si>
  <si>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</si>
  <si>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</si>
  <si>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</si>
  <si>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</si>
  <si>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</si>
  <si>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</si>
  <si>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</si>
  <si>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</si>
  <si>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</si>
  <si>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</si>
  <si>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</si>
  <si>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</si>
  <si>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</si>
  <si>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</si>
  <si>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</si>
  <si>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</si>
  <si>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</si>
  <si>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</si>
  <si>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</si>
  <si>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</si>
  <si>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</si>
  <si>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</si>
  <si>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</si>
  <si>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</si>
  <si>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</si>
  <si>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</si>
  <si>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</si>
  <si>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</si>
  <si>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</si>
  <si>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</si>
  <si>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</si>
  <si>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</si>
  <si>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</si>
  <si>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</si>
  <si>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</si>
  <si>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</si>
  <si>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</si>
  <si>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</si>
  <si>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</si>
  <si>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Køb af ydelser og produkter fra andre vandselskaber reguleret af vandsektorloven</t>
  </si>
  <si>
    <t>Ejendomsskat</t>
  </si>
  <si>
    <t>Erstatninger</t>
  </si>
  <si>
    <t>Pålagte aftaler om dyrkningspraksis eller andre restriktioner i arealanvendelse</t>
  </si>
  <si>
    <t>Frivillige aftaler om dyrkningspraksis eller andre restriktioner i arealanvendelse</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</si>
  <si>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</si>
  <si>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</si>
  <si>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</si>
  <si>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</si>
  <si>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</si>
  <si>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</si>
  <si>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</si>
  <si>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</si>
  <si>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</si>
  <si>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</si>
  <si>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</si>
  <si>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</si>
  <si>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</si>
  <si>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</si>
  <si>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</si>
  <si>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Udvidelse af forsyningsområdet</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</si>
  <si>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</si>
  <si>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Ingen engangstillæg</t>
  </si>
  <si>
    <t>Resultat af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</si>
</sst>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7"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
      <sz val="11"/>
      <color rgb="FFFF0000"/>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16" fillId="0" borderId="0" xfId="0" applyFont="1" applyFill="1" applyProtection="1"/>
    <xf numFmtId="0" fontId="0" fillId="0" borderId="0" xfId="0" applyFill="1" applyAlignment="1" applyProtection="1">
      <alignment horizontal="righ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3" t="s">
        <v>4</v>
      </c>
      <c r="E6" s="93"/>
      <c r="F6" s="93"/>
      <c r="G6" s="93"/>
      <c r="H6" s="3"/>
      <c r="I6" s="1"/>
    </row>
    <row r="7" spans="1:9" ht="15" customHeight="1" x14ac:dyDescent="0.25">
      <c r="A7" s="1"/>
      <c r="B7" s="1"/>
      <c r="C7" s="3"/>
      <c r="D7" s="93"/>
      <c r="E7" s="93"/>
      <c r="F7" s="93"/>
      <c r="G7" s="93"/>
      <c r="H7" s="3"/>
      <c r="I7" s="1"/>
    </row>
    <row r="8" spans="1:9" ht="15.75" x14ac:dyDescent="0.25">
      <c r="A8" s="1"/>
      <c r="B8" s="1"/>
      <c r="C8" s="4"/>
      <c r="D8" s="98" t="s">
        <v>194</v>
      </c>
      <c r="E8" s="98"/>
      <c r="F8" s="98"/>
      <c r="G8" s="9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7" t="s">
        <v>5</v>
      </c>
      <c r="E11" s="97"/>
      <c r="F11" s="97"/>
      <c r="G11" s="97"/>
      <c r="H11" s="5"/>
      <c r="I11" s="1"/>
    </row>
    <row r="12" spans="1:9" x14ac:dyDescent="0.25">
      <c r="A12" s="1"/>
      <c r="B12" s="1"/>
      <c r="C12" s="1"/>
      <c r="D12" s="1"/>
      <c r="E12" s="1"/>
      <c r="F12" s="1"/>
      <c r="G12" s="1"/>
      <c r="H12" s="1"/>
      <c r="I12" s="1"/>
    </row>
    <row r="13" spans="1:9" x14ac:dyDescent="0.25">
      <c r="A13" s="1"/>
      <c r="B13" s="1"/>
      <c r="C13" s="6" t="s">
        <v>6</v>
      </c>
      <c r="D13" s="90" t="s">
        <v>161</v>
      </c>
      <c r="E13" s="91"/>
      <c r="F13" s="91"/>
      <c r="G13" s="92"/>
      <c r="H13" s="1"/>
      <c r="I13" s="1"/>
    </row>
    <row r="14" spans="1:9" x14ac:dyDescent="0.25">
      <c r="A14" s="1"/>
      <c r="B14" s="1"/>
      <c r="C14" s="6" t="s">
        <v>14</v>
      </c>
      <c r="D14" s="90" t="s">
        <v>204</v>
      </c>
      <c r="E14" s="91"/>
      <c r="F14" s="91"/>
      <c r="G14" s="92"/>
      <c r="H14" s="1"/>
      <c r="I14" s="1"/>
    </row>
    <row r="15" spans="1:9" x14ac:dyDescent="0.25">
      <c r="A15" s="1"/>
      <c r="B15" s="1"/>
      <c r="C15" s="6" t="s">
        <v>32</v>
      </c>
      <c r="D15" s="90" t="s">
        <v>137</v>
      </c>
      <c r="E15" s="91"/>
      <c r="F15" s="91"/>
      <c r="G15" s="92"/>
      <c r="H15" s="1"/>
      <c r="I15" s="1"/>
    </row>
    <row r="16" spans="1:9" x14ac:dyDescent="0.25">
      <c r="A16" s="1"/>
      <c r="B16" s="1"/>
      <c r="C16" s="6" t="s">
        <v>33</v>
      </c>
      <c r="D16" s="90" t="s">
        <v>162</v>
      </c>
      <c r="E16" s="91"/>
      <c r="F16" s="91"/>
      <c r="G16" s="92"/>
      <c r="H16" s="1"/>
      <c r="I16" s="1"/>
    </row>
    <row r="17" spans="1:9" x14ac:dyDescent="0.25">
      <c r="A17" s="1"/>
      <c r="B17" s="1"/>
      <c r="C17" s="6" t="s">
        <v>110</v>
      </c>
      <c r="D17" s="90" t="s">
        <v>163</v>
      </c>
      <c r="E17" s="91"/>
      <c r="F17" s="91"/>
      <c r="G17" s="92"/>
      <c r="H17" s="1"/>
      <c r="I17" s="1"/>
    </row>
    <row r="18" spans="1:9" x14ac:dyDescent="0.25">
      <c r="A18" s="1"/>
      <c r="B18" s="1"/>
      <c r="C18" s="6" t="s">
        <v>94</v>
      </c>
      <c r="D18" s="99" t="s">
        <v>86</v>
      </c>
      <c r="E18" s="100"/>
      <c r="F18" s="100"/>
      <c r="G18" s="101"/>
      <c r="H18" s="1"/>
      <c r="I18" s="1"/>
    </row>
    <row r="19" spans="1:9" x14ac:dyDescent="0.25">
      <c r="A19" s="1"/>
      <c r="B19" s="1"/>
      <c r="C19" s="6" t="s">
        <v>95</v>
      </c>
      <c r="D19" s="99" t="s">
        <v>87</v>
      </c>
      <c r="E19" s="100"/>
      <c r="F19" s="100"/>
      <c r="G19" s="101"/>
      <c r="H19" s="1"/>
      <c r="I19" s="1"/>
    </row>
    <row r="20" spans="1:9" x14ac:dyDescent="0.25">
      <c r="A20" s="1"/>
      <c r="B20" s="1"/>
      <c r="C20" s="6" t="s">
        <v>7</v>
      </c>
      <c r="D20" s="99" t="s">
        <v>9</v>
      </c>
      <c r="E20" s="100"/>
      <c r="F20" s="100"/>
      <c r="G20" s="101"/>
      <c r="H20" s="1"/>
      <c r="I20" s="1"/>
    </row>
    <row r="21" spans="1:9" x14ac:dyDescent="0.25">
      <c r="A21" s="1"/>
      <c r="B21" s="1"/>
      <c r="C21" s="6" t="s">
        <v>96</v>
      </c>
      <c r="D21" s="105" t="s">
        <v>11</v>
      </c>
      <c r="E21" s="106"/>
      <c r="F21" s="106"/>
      <c r="G21" s="107"/>
      <c r="H21" s="1"/>
      <c r="I21" s="1"/>
    </row>
    <row r="22" spans="1:9" x14ac:dyDescent="0.25">
      <c r="A22" s="1"/>
      <c r="B22" s="1"/>
      <c r="C22" s="6" t="s">
        <v>78</v>
      </c>
      <c r="D22" s="94" t="s">
        <v>164</v>
      </c>
      <c r="E22" s="95"/>
      <c r="F22" s="95"/>
      <c r="G22" s="96"/>
      <c r="H22" s="1"/>
      <c r="I22" s="1"/>
    </row>
    <row r="23" spans="1:9" x14ac:dyDescent="0.25">
      <c r="A23" s="1"/>
      <c r="B23" s="1"/>
      <c r="C23" s="6" t="s">
        <v>8</v>
      </c>
      <c r="D23" s="94" t="s">
        <v>219</v>
      </c>
      <c r="E23" s="95"/>
      <c r="F23" s="95"/>
      <c r="G23" s="96"/>
      <c r="H23" s="1"/>
      <c r="I23" s="1"/>
    </row>
    <row r="24" spans="1:9" x14ac:dyDescent="0.25">
      <c r="A24" s="1"/>
      <c r="B24" s="1"/>
      <c r="C24" s="6" t="s">
        <v>215</v>
      </c>
      <c r="D24" s="94" t="s">
        <v>205</v>
      </c>
      <c r="E24" s="95"/>
      <c r="F24" s="95"/>
      <c r="G24" s="96"/>
      <c r="H24" s="1"/>
      <c r="I24" s="1"/>
    </row>
    <row r="25" spans="1:9" x14ac:dyDescent="0.25">
      <c r="A25" s="1"/>
      <c r="B25" s="1"/>
      <c r="C25" s="6" t="s">
        <v>216</v>
      </c>
      <c r="D25" s="94" t="s">
        <v>79</v>
      </c>
      <c r="E25" s="95"/>
      <c r="F25" s="95"/>
      <c r="G25" s="96"/>
      <c r="H25" s="1"/>
      <c r="I25" s="1"/>
    </row>
    <row r="26" spans="1:9" x14ac:dyDescent="0.25">
      <c r="A26" s="1"/>
      <c r="B26" s="1"/>
      <c r="C26" s="6" t="s">
        <v>217</v>
      </c>
      <c r="D26" s="94" t="s">
        <v>80</v>
      </c>
      <c r="E26" s="95"/>
      <c r="F26" s="95"/>
      <c r="G26" s="96"/>
      <c r="H26" s="1"/>
      <c r="I26" s="1"/>
    </row>
    <row r="27" spans="1:9" x14ac:dyDescent="0.25">
      <c r="A27" s="1"/>
      <c r="B27" s="1"/>
      <c r="C27" s="6" t="s">
        <v>97</v>
      </c>
      <c r="D27" s="94" t="s">
        <v>111</v>
      </c>
      <c r="E27" s="95"/>
      <c r="F27" s="95"/>
      <c r="G27" s="96"/>
      <c r="H27" s="1"/>
      <c r="I27" s="1"/>
    </row>
    <row r="28" spans="1:9" x14ac:dyDescent="0.25">
      <c r="A28" s="1"/>
      <c r="B28" s="1"/>
      <c r="C28" s="6" t="s">
        <v>91</v>
      </c>
      <c r="D28" s="94" t="s">
        <v>34</v>
      </c>
      <c r="E28" s="95"/>
      <c r="F28" s="95"/>
      <c r="G28" s="96"/>
      <c r="H28" s="1"/>
      <c r="I28" s="1"/>
    </row>
    <row r="29" spans="1:9" x14ac:dyDescent="0.25">
      <c r="A29" s="1"/>
      <c r="B29" s="1"/>
      <c r="C29" s="6" t="s">
        <v>218</v>
      </c>
      <c r="D29" s="102" t="s">
        <v>92</v>
      </c>
      <c r="E29" s="103"/>
      <c r="F29" s="103"/>
      <c r="G29" s="10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88"/>
      <c r="B51" s="88"/>
      <c r="C51" s="88"/>
      <c r="D51" s="88"/>
      <c r="E51" s="88"/>
      <c r="F51" s="88"/>
      <c r="G51" s="88"/>
      <c r="H51" s="88"/>
      <c r="I51" s="88"/>
    </row>
  </sheetData>
  <sheetProtection algorithmName="SHA-512" hashValue="sQwjsiEsOIzlp76Uua3t8vFxYD62tucirE4BhTjVGPLLOoXBwz0TpsU0r+mDHeac9+9uGZNSzFSR81E2NQt9Sw==" saltValue="wYptlz5FTBiAxQFfjUS/t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4"/>
  <sheetViews>
    <sheetView showGridLines="0" view="pageLayout" zoomScaleNormal="100" workbookViewId="0"/>
  </sheetViews>
  <sheetFormatPr defaultColWidth="9.140625" defaultRowHeight="15" x14ac:dyDescent="0.25"/>
  <cols>
    <col min="1" max="1" width="6.28515625" style="2" customWidth="1"/>
    <col min="2" max="2" width="41.5703125" style="2" customWidth="1"/>
    <col min="3" max="3" width="24.42578125" style="2" customWidth="1"/>
    <col min="4" max="4" width="3.85546875" style="2" customWidth="1"/>
    <col min="5" max="5" width="7.85546875" style="2" customWidth="1"/>
    <col min="6" max="6" width="4" style="2" customWidth="1"/>
    <col min="7" max="16384" width="9.140625" style="2"/>
  </cols>
  <sheetData>
    <row r="1" spans="1:6" x14ac:dyDescent="0.25">
      <c r="A1" s="1"/>
      <c r="B1" s="1"/>
      <c r="C1" s="1"/>
      <c r="D1" s="1"/>
      <c r="E1" s="1"/>
      <c r="F1" s="55"/>
    </row>
    <row r="2" spans="1:6" x14ac:dyDescent="0.25">
      <c r="A2" s="1"/>
      <c r="B2" s="1"/>
      <c r="C2" s="1"/>
      <c r="D2" s="1"/>
      <c r="E2" s="1"/>
      <c r="F2" s="55"/>
    </row>
    <row r="3" spans="1:6" ht="15" customHeight="1" x14ac:dyDescent="0.25">
      <c r="A3" s="1"/>
      <c r="B3" s="108" t="s">
        <v>100</v>
      </c>
      <c r="C3" s="108"/>
      <c r="D3" s="108"/>
      <c r="E3" s="1"/>
      <c r="F3" s="55"/>
    </row>
    <row r="4" spans="1:6" ht="15" customHeight="1" x14ac:dyDescent="0.25">
      <c r="A4" s="1"/>
      <c r="B4" s="108"/>
      <c r="C4" s="108"/>
      <c r="D4" s="108"/>
      <c r="E4" s="1"/>
      <c r="F4" s="55"/>
    </row>
    <row r="5" spans="1:6" x14ac:dyDescent="0.25">
      <c r="A5" s="1"/>
      <c r="B5" s="1"/>
      <c r="C5" s="1"/>
      <c r="D5" s="1"/>
      <c r="E5" s="1"/>
      <c r="F5" s="55"/>
    </row>
    <row r="6" spans="1:6" x14ac:dyDescent="0.25">
      <c r="A6" s="1"/>
      <c r="B6" s="1"/>
      <c r="C6" s="1"/>
      <c r="D6" s="1"/>
      <c r="E6" s="1"/>
      <c r="F6" s="55"/>
    </row>
    <row r="7" spans="1:6" x14ac:dyDescent="0.25">
      <c r="A7" s="1"/>
      <c r="B7" s="1"/>
      <c r="C7" s="1"/>
      <c r="D7" s="1"/>
      <c r="E7" s="1"/>
      <c r="F7" s="55"/>
    </row>
    <row r="8" spans="1:6" x14ac:dyDescent="0.25">
      <c r="A8" s="1"/>
      <c r="B8" s="127" t="s">
        <v>181</v>
      </c>
      <c r="C8" s="128"/>
      <c r="D8" s="129"/>
      <c r="E8" s="1"/>
      <c r="F8" s="55"/>
    </row>
    <row r="9" spans="1:6" ht="15" customHeight="1" x14ac:dyDescent="0.25">
      <c r="A9" s="1"/>
      <c r="B9" s="33" t="s">
        <v>30</v>
      </c>
      <c r="C9" s="11" t="s">
        <v>212</v>
      </c>
      <c r="D9" s="11"/>
      <c r="E9" s="1"/>
      <c r="F9" s="55"/>
    </row>
    <row r="10" spans="1:6" x14ac:dyDescent="0.25">
      <c r="A10" s="1"/>
      <c r="B10" s="79" t="s">
        <v>231</v>
      </c>
      <c r="C10" s="9">
        <v>56534722</v>
      </c>
      <c r="D10" s="14" t="s">
        <v>3</v>
      </c>
      <c r="E10" s="1"/>
      <c r="F10" s="55"/>
    </row>
    <row r="11" spans="1:6" x14ac:dyDescent="0.25">
      <c r="A11" s="1"/>
      <c r="B11" s="79" t="s">
        <v>232</v>
      </c>
      <c r="C11" s="9">
        <v>300347</v>
      </c>
      <c r="D11" s="14" t="s">
        <v>3</v>
      </c>
      <c r="E11" s="1"/>
      <c r="F11" s="55"/>
    </row>
    <row r="12" spans="1:6" ht="26.25" x14ac:dyDescent="0.25">
      <c r="A12" s="1"/>
      <c r="B12" s="82" t="s">
        <v>233</v>
      </c>
      <c r="C12" s="9">
        <v>986158</v>
      </c>
      <c r="D12" s="14" t="s">
        <v>3</v>
      </c>
      <c r="E12" s="1"/>
      <c r="F12" s="55"/>
    </row>
    <row r="13" spans="1:6" x14ac:dyDescent="0.25">
      <c r="A13" s="1"/>
      <c r="B13" s="79" t="s">
        <v>234</v>
      </c>
      <c r="C13" s="9">
        <v>177496</v>
      </c>
      <c r="D13" s="14" t="s">
        <v>3</v>
      </c>
      <c r="E13" s="1"/>
      <c r="F13" s="55"/>
    </row>
    <row r="14" spans="1:6" x14ac:dyDescent="0.25">
      <c r="A14" s="1"/>
      <c r="B14" s="79" t="s">
        <v>235</v>
      </c>
      <c r="C14" s="9">
        <v>172134</v>
      </c>
      <c r="D14" s="14" t="s">
        <v>3</v>
      </c>
      <c r="E14" s="1"/>
      <c r="F14" s="55"/>
    </row>
    <row r="15" spans="1:6" ht="26.25" x14ac:dyDescent="0.25">
      <c r="A15" s="1"/>
      <c r="B15" s="82" t="s">
        <v>236</v>
      </c>
      <c r="C15" s="9">
        <v>4248</v>
      </c>
      <c r="D15" s="14" t="s">
        <v>3</v>
      </c>
      <c r="E15" s="1"/>
      <c r="F15" s="55"/>
    </row>
    <row r="16" spans="1:6" ht="26.25" x14ac:dyDescent="0.25">
      <c r="A16" s="1"/>
      <c r="B16" s="82" t="s">
        <v>237</v>
      </c>
      <c r="C16" s="9">
        <v>85775</v>
      </c>
      <c r="D16" s="14" t="s">
        <v>3</v>
      </c>
      <c r="E16" s="1"/>
      <c r="F16" s="55"/>
    </row>
    <row r="17" spans="1:6" x14ac:dyDescent="0.25">
      <c r="A17" s="1"/>
      <c r="B17" s="71" t="s">
        <v>182</v>
      </c>
      <c r="C17" s="12">
        <f>SUM(C10:C16)</f>
        <v>58260880</v>
      </c>
      <c r="D17" s="13" t="s">
        <v>3</v>
      </c>
      <c r="E17" s="1"/>
      <c r="F17" s="55"/>
    </row>
    <row r="18" spans="1:6" x14ac:dyDescent="0.25">
      <c r="A18" s="1"/>
      <c r="B18" s="71" t="s">
        <v>183</v>
      </c>
      <c r="C18" s="12">
        <f>C17*(1+'Fane 13. Nøgletal'!C15)^2</f>
        <v>62482892.164876804</v>
      </c>
      <c r="D18" s="13" t="s">
        <v>3</v>
      </c>
      <c r="E18" s="1"/>
      <c r="F18" s="55"/>
    </row>
    <row r="19" spans="1:6" x14ac:dyDescent="0.25">
      <c r="A19" s="1"/>
      <c r="B19" s="16"/>
      <c r="C19" s="15"/>
      <c r="D19" s="15"/>
      <c r="E19" s="1"/>
      <c r="F19" s="55"/>
    </row>
    <row r="20" spans="1:6" x14ac:dyDescent="0.25">
      <c r="A20" s="1"/>
      <c r="B20" s="16"/>
      <c r="C20" s="15"/>
      <c r="D20" s="15"/>
      <c r="E20" s="1"/>
      <c r="F20" s="55"/>
    </row>
    <row r="21" spans="1:6" x14ac:dyDescent="0.25">
      <c r="A21" s="1"/>
      <c r="B21" s="1"/>
      <c r="C21" s="1"/>
      <c r="D21" s="1"/>
      <c r="E21" s="1"/>
      <c r="F21" s="55"/>
    </row>
    <row r="22" spans="1:6" x14ac:dyDescent="0.25">
      <c r="A22" s="1"/>
      <c r="B22" s="1"/>
      <c r="C22" s="1"/>
      <c r="D22" s="1"/>
      <c r="E22" s="1"/>
      <c r="F22" s="55"/>
    </row>
    <row r="23" spans="1:6" x14ac:dyDescent="0.25">
      <c r="A23" s="1"/>
      <c r="B23" s="1"/>
      <c r="C23" s="1"/>
      <c r="D23" s="1"/>
      <c r="E23" s="1"/>
      <c r="F23" s="55"/>
    </row>
    <row r="24" spans="1:6" x14ac:dyDescent="0.25">
      <c r="A24" s="1"/>
      <c r="B24" s="1"/>
      <c r="C24" s="1"/>
      <c r="D24" s="1"/>
      <c r="E24" s="1"/>
      <c r="F24" s="55"/>
    </row>
    <row r="25" spans="1:6" x14ac:dyDescent="0.25">
      <c r="A25" s="1"/>
      <c r="B25" s="1"/>
      <c r="C25" s="1"/>
      <c r="D25" s="1"/>
      <c r="E25" s="1"/>
      <c r="F25" s="55"/>
    </row>
    <row r="26" spans="1:6" x14ac:dyDescent="0.25">
      <c r="A26" s="1"/>
      <c r="B26" s="1"/>
      <c r="C26" s="1"/>
      <c r="D26" s="1"/>
      <c r="E26" s="1"/>
      <c r="F26" s="55"/>
    </row>
    <row r="27" spans="1:6" x14ac:dyDescent="0.25">
      <c r="A27" s="1"/>
      <c r="B27" s="1"/>
      <c r="C27" s="1"/>
      <c r="D27" s="1"/>
      <c r="E27" s="1"/>
      <c r="F27" s="55"/>
    </row>
    <row r="28" spans="1:6" x14ac:dyDescent="0.25">
      <c r="A28" s="1"/>
      <c r="B28" s="1"/>
      <c r="C28" s="1"/>
      <c r="D28" s="1"/>
      <c r="E28" s="1"/>
      <c r="F28" s="55"/>
    </row>
    <row r="29" spans="1:6" x14ac:dyDescent="0.25">
      <c r="A29" s="1"/>
      <c r="B29" s="1"/>
      <c r="C29" s="1"/>
      <c r="D29" s="1"/>
      <c r="E29" s="1"/>
      <c r="F29" s="55"/>
    </row>
    <row r="30" spans="1:6" x14ac:dyDescent="0.25">
      <c r="A30" s="1"/>
      <c r="B30" s="1"/>
      <c r="C30" s="1"/>
      <c r="D30" s="1"/>
      <c r="E30" s="1"/>
      <c r="F30" s="55"/>
    </row>
    <row r="31" spans="1:6" x14ac:dyDescent="0.25">
      <c r="A31" s="1"/>
      <c r="B31" s="1"/>
      <c r="C31" s="1"/>
      <c r="D31" s="1"/>
      <c r="E31" s="1"/>
      <c r="F31" s="55"/>
    </row>
    <row r="32" spans="1:6" x14ac:dyDescent="0.25">
      <c r="A32" s="1"/>
      <c r="B32" s="1"/>
      <c r="C32" s="1"/>
      <c r="D32" s="1"/>
      <c r="E32" s="1"/>
      <c r="F32" s="55"/>
    </row>
    <row r="33" spans="1:6" x14ac:dyDescent="0.25">
      <c r="A33" s="1"/>
      <c r="B33" s="1"/>
      <c r="C33" s="1"/>
      <c r="D33" s="1"/>
      <c r="E33" s="1"/>
      <c r="F33" s="55"/>
    </row>
    <row r="34" spans="1:6" x14ac:dyDescent="0.25">
      <c r="A34" s="1"/>
      <c r="B34" s="1"/>
      <c r="C34" s="1"/>
      <c r="D34" s="1"/>
      <c r="E34" s="1"/>
      <c r="F34" s="55"/>
    </row>
    <row r="35" spans="1:6" x14ac:dyDescent="0.25">
      <c r="A35" s="1"/>
      <c r="B35" s="1"/>
      <c r="C35" s="1"/>
      <c r="D35" s="1"/>
      <c r="E35" s="1"/>
      <c r="F35" s="55"/>
    </row>
    <row r="36" spans="1:6" x14ac:dyDescent="0.25">
      <c r="A36" s="1"/>
      <c r="B36" s="1"/>
      <c r="C36" s="1"/>
      <c r="D36" s="1"/>
      <c r="E36" s="1"/>
      <c r="F36" s="55"/>
    </row>
    <row r="37" spans="1:6" x14ac:dyDescent="0.25">
      <c r="A37" s="1"/>
      <c r="B37" s="1"/>
      <c r="C37" s="1"/>
      <c r="D37" s="1"/>
      <c r="E37" s="1"/>
      <c r="F37" s="55"/>
    </row>
    <row r="38" spans="1:6" x14ac:dyDescent="0.25">
      <c r="A38" s="1"/>
      <c r="B38" s="1"/>
      <c r="C38" s="1"/>
      <c r="D38" s="1"/>
      <c r="E38" s="1"/>
      <c r="F38" s="55"/>
    </row>
    <row r="39" spans="1:6" x14ac:dyDescent="0.25">
      <c r="A39" s="1"/>
      <c r="B39" s="1"/>
      <c r="C39" s="1"/>
      <c r="D39" s="1"/>
      <c r="E39" s="1"/>
      <c r="F39" s="55"/>
    </row>
    <row r="40" spans="1:6" x14ac:dyDescent="0.25">
      <c r="A40" s="1"/>
      <c r="B40" s="1"/>
      <c r="C40" s="1"/>
      <c r="D40" s="1"/>
      <c r="E40" s="1"/>
      <c r="F40" s="55"/>
    </row>
    <row r="41" spans="1:6" x14ac:dyDescent="0.25">
      <c r="A41" s="1"/>
      <c r="B41" s="1"/>
      <c r="C41" s="1"/>
      <c r="D41" s="1"/>
      <c r="E41" s="1"/>
      <c r="F41" s="55"/>
    </row>
    <row r="42" spans="1:6" x14ac:dyDescent="0.25">
      <c r="A42" s="1"/>
      <c r="B42" s="1"/>
      <c r="C42" s="1"/>
      <c r="D42" s="1"/>
      <c r="E42" s="1"/>
      <c r="F42" s="55"/>
    </row>
    <row r="43" spans="1:6" x14ac:dyDescent="0.25">
      <c r="A43" s="1"/>
      <c r="B43" s="1"/>
      <c r="C43" s="1"/>
      <c r="D43" s="1"/>
      <c r="E43" s="1"/>
      <c r="F43" s="55"/>
    </row>
    <row r="44" spans="1:6" x14ac:dyDescent="0.25">
      <c r="A44" s="1"/>
      <c r="B44" s="1"/>
      <c r="C44" s="1"/>
      <c r="D44" s="1"/>
      <c r="E44" s="1"/>
      <c r="F44" s="55"/>
    </row>
    <row r="45" spans="1:6" x14ac:dyDescent="0.25">
      <c r="A45" s="1"/>
      <c r="B45" s="1"/>
      <c r="C45" s="1"/>
      <c r="D45" s="1"/>
      <c r="E45" s="1"/>
      <c r="F45" s="55"/>
    </row>
    <row r="46" spans="1:6" x14ac:dyDescent="0.25">
      <c r="A46" s="1"/>
      <c r="B46" s="1"/>
      <c r="C46" s="1"/>
      <c r="D46" s="1"/>
      <c r="E46" s="1"/>
      <c r="F46" s="55"/>
    </row>
    <row r="47" spans="1:6" x14ac:dyDescent="0.25">
      <c r="A47" s="1"/>
      <c r="B47" s="1"/>
      <c r="C47" s="1"/>
      <c r="D47" s="1"/>
      <c r="E47" s="1"/>
      <c r="F47" s="55"/>
    </row>
    <row r="48" spans="1:6" x14ac:dyDescent="0.25">
      <c r="A48" s="55"/>
      <c r="B48" s="55"/>
      <c r="C48" s="55"/>
      <c r="D48" s="55"/>
      <c r="E48" s="55"/>
      <c r="F48" s="55"/>
    </row>
    <row r="49" spans="1:6" x14ac:dyDescent="0.25">
      <c r="A49" s="55"/>
      <c r="B49" s="55"/>
      <c r="C49" s="55"/>
      <c r="D49" s="55"/>
      <c r="E49" s="55"/>
      <c r="F49" s="55"/>
    </row>
    <row r="50" spans="1:6" x14ac:dyDescent="0.25">
      <c r="A50" s="55"/>
      <c r="B50" s="55"/>
      <c r="C50" s="55"/>
      <c r="D50" s="55"/>
      <c r="E50" s="55"/>
      <c r="F50" s="55"/>
    </row>
    <row r="51" spans="1:6" x14ac:dyDescent="0.25">
      <c r="A51" s="55"/>
      <c r="B51" s="55"/>
      <c r="C51" s="55"/>
      <c r="D51" s="55"/>
      <c r="E51" s="55"/>
      <c r="F51" s="55"/>
    </row>
    <row r="52" spans="1:6" x14ac:dyDescent="0.25">
      <c r="A52" s="55"/>
      <c r="B52" s="55"/>
      <c r="C52" s="55"/>
      <c r="D52" s="55"/>
      <c r="E52" s="55"/>
      <c r="F52" s="55"/>
    </row>
    <row r="53" spans="1:6" x14ac:dyDescent="0.25">
      <c r="A53" s="55"/>
      <c r="B53" s="55"/>
      <c r="C53" s="55"/>
      <c r="D53" s="55"/>
      <c r="E53" s="55"/>
      <c r="F53" s="55"/>
    </row>
    <row r="54" spans="1:6" x14ac:dyDescent="0.25">
      <c r="A54" s="55"/>
      <c r="B54" s="55"/>
      <c r="C54" s="55"/>
      <c r="D54" s="55"/>
      <c r="E54" s="55"/>
      <c r="F54" s="55"/>
    </row>
  </sheetData>
  <sheetProtection algorithmName="SHA-512" hashValue="8EiK9ZTBw8Hphra6P2ewJa6uCidiJCL6P+gPJxJPup463lRu/pPiv1cR2/lW/QqstBJ7AIzZ2dzltb/mGNKoGw==" saltValue="bLnLvvGHc4p5LZeyc5I+0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0" t="s">
        <v>184</v>
      </c>
      <c r="C3" s="130"/>
      <c r="D3" s="130"/>
      <c r="E3" s="130"/>
      <c r="F3" s="130"/>
      <c r="G3" s="1"/>
    </row>
    <row r="4" spans="1:7" ht="15" customHeight="1" x14ac:dyDescent="0.25">
      <c r="A4" s="1"/>
      <c r="B4" s="130"/>
      <c r="C4" s="130"/>
      <c r="D4" s="130"/>
      <c r="E4" s="130"/>
      <c r="F4" s="130"/>
      <c r="G4" s="1"/>
    </row>
    <row r="5" spans="1:7" ht="15" customHeight="1" x14ac:dyDescent="0.25">
      <c r="A5" s="1"/>
      <c r="B5" s="67"/>
      <c r="C5" s="67"/>
      <c r="D5" s="67"/>
      <c r="E5" s="67"/>
      <c r="F5" s="67"/>
      <c r="G5" s="1"/>
    </row>
    <row r="6" spans="1:7" ht="15" customHeight="1" x14ac:dyDescent="0.25">
      <c r="A6" s="1"/>
      <c r="B6" s="67"/>
      <c r="C6" s="67"/>
      <c r="D6" s="67"/>
      <c r="E6" s="67"/>
      <c r="F6" s="67"/>
      <c r="G6" s="1"/>
    </row>
    <row r="7" spans="1:7" x14ac:dyDescent="0.25">
      <c r="A7" s="1"/>
      <c r="B7" s="1"/>
      <c r="C7" s="1"/>
      <c r="D7" s="1"/>
      <c r="E7" s="1"/>
      <c r="F7" s="1"/>
      <c r="G7" s="1"/>
    </row>
    <row r="8" spans="1:7" x14ac:dyDescent="0.25">
      <c r="A8" s="1"/>
      <c r="B8" s="127" t="s">
        <v>155</v>
      </c>
      <c r="C8" s="128"/>
      <c r="D8" s="128"/>
      <c r="E8" s="128"/>
      <c r="F8" s="129"/>
      <c r="G8" s="1"/>
    </row>
    <row r="9" spans="1:7" x14ac:dyDescent="0.25">
      <c r="A9" s="1"/>
      <c r="B9" s="134" t="s">
        <v>156</v>
      </c>
      <c r="C9" s="135"/>
      <c r="D9" s="136"/>
      <c r="E9" s="9">
        <v>25585471</v>
      </c>
      <c r="F9" s="14" t="s">
        <v>3</v>
      </c>
      <c r="G9" s="1"/>
    </row>
    <row r="10" spans="1:7" x14ac:dyDescent="0.25">
      <c r="A10" s="1"/>
      <c r="B10" s="149" t="s">
        <v>238</v>
      </c>
      <c r="C10" s="150"/>
      <c r="D10" s="151"/>
      <c r="E10" s="9">
        <v>25585471</v>
      </c>
      <c r="F10" s="54" t="s">
        <v>3</v>
      </c>
      <c r="G10" s="1"/>
    </row>
    <row r="11" spans="1:7" x14ac:dyDescent="0.25">
      <c r="A11" s="1"/>
      <c r="B11" s="134" t="s">
        <v>185</v>
      </c>
      <c r="C11" s="135"/>
      <c r="D11" s="136"/>
      <c r="E11" s="9">
        <v>24619601.440805227</v>
      </c>
      <c r="F11" s="14" t="s">
        <v>3</v>
      </c>
      <c r="G11" s="1"/>
    </row>
    <row r="12" spans="1:7" x14ac:dyDescent="0.25">
      <c r="A12" s="1"/>
      <c r="B12" s="71"/>
      <c r="C12" s="72"/>
      <c r="D12" s="72"/>
      <c r="E12" s="72"/>
      <c r="F12" s="19"/>
      <c r="G12" s="1"/>
    </row>
    <row r="13" spans="1:7" ht="64.900000000000006" customHeight="1" x14ac:dyDescent="0.25">
      <c r="A13" s="1"/>
      <c r="B13" s="110" t="s">
        <v>254</v>
      </c>
      <c r="C13" s="111"/>
      <c r="D13" s="111"/>
      <c r="E13" s="111"/>
      <c r="F13" s="112"/>
      <c r="G13" s="1"/>
    </row>
    <row r="14" spans="1:7" ht="27" customHeight="1" x14ac:dyDescent="0.25">
      <c r="A14" s="1"/>
      <c r="B14" s="1"/>
      <c r="C14" s="1"/>
      <c r="D14" s="1"/>
      <c r="E14" s="1"/>
      <c r="F14" s="1"/>
      <c r="G14" s="1"/>
    </row>
    <row r="15" spans="1:7" ht="28.5" customHeight="1" x14ac:dyDescent="0.25">
      <c r="A15" s="1"/>
      <c r="B15" s="127" t="s">
        <v>157</v>
      </c>
      <c r="C15" s="128"/>
      <c r="D15" s="128"/>
      <c r="E15" s="128"/>
      <c r="F15" s="129"/>
      <c r="G15" s="1"/>
    </row>
    <row r="16" spans="1:7" x14ac:dyDescent="0.25">
      <c r="A16" s="1"/>
      <c r="B16" s="134" t="s">
        <v>239</v>
      </c>
      <c r="C16" s="135"/>
      <c r="D16" s="136"/>
      <c r="E16" s="9">
        <v>0</v>
      </c>
      <c r="F16" s="14" t="s">
        <v>3</v>
      </c>
      <c r="G16" s="1"/>
    </row>
    <row r="17" spans="1:7" x14ac:dyDescent="0.25">
      <c r="A17" s="1"/>
      <c r="B17" s="134" t="s">
        <v>240</v>
      </c>
      <c r="C17" s="135"/>
      <c r="D17" s="136"/>
      <c r="E17" s="9">
        <v>0</v>
      </c>
      <c r="F17" s="14" t="s">
        <v>3</v>
      </c>
      <c r="G17" s="1"/>
    </row>
    <row r="18" spans="1:7" x14ac:dyDescent="0.25">
      <c r="A18" s="1"/>
      <c r="B18" s="71"/>
      <c r="C18" s="72"/>
      <c r="D18" s="72"/>
      <c r="E18" s="72"/>
      <c r="F18" s="19"/>
      <c r="G18" s="1"/>
    </row>
    <row r="19" spans="1:7" ht="31.5" customHeight="1" x14ac:dyDescent="0.25">
      <c r="A19" s="1"/>
      <c r="B19" s="110" t="s">
        <v>158</v>
      </c>
      <c r="C19" s="111"/>
      <c r="D19" s="111"/>
      <c r="E19" s="111"/>
      <c r="F19" s="112"/>
      <c r="G19" s="1"/>
    </row>
    <row r="20" spans="1:7" ht="28.5" customHeight="1" x14ac:dyDescent="0.25">
      <c r="A20" s="1"/>
      <c r="B20" s="1"/>
      <c r="C20" s="1"/>
      <c r="D20" s="1"/>
      <c r="E20" s="1"/>
      <c r="F20" s="1"/>
      <c r="G20" s="1"/>
    </row>
    <row r="21" spans="1:7" ht="28.5" customHeight="1" x14ac:dyDescent="0.25">
      <c r="A21" s="1"/>
      <c r="B21" s="73" t="s">
        <v>186</v>
      </c>
      <c r="C21" s="74"/>
      <c r="D21" s="74"/>
      <c r="E21" s="74"/>
      <c r="F21" s="75"/>
      <c r="G21" s="1"/>
    </row>
    <row r="22" spans="1:7" x14ac:dyDescent="0.25">
      <c r="A22" s="1"/>
      <c r="B22" s="76" t="s">
        <v>241</v>
      </c>
      <c r="C22" s="77"/>
      <c r="D22" s="78"/>
      <c r="E22" s="9">
        <v>161005370.78780803</v>
      </c>
      <c r="F22" s="14" t="s">
        <v>3</v>
      </c>
      <c r="G22" s="1"/>
    </row>
    <row r="23" spans="1:7" x14ac:dyDescent="0.25">
      <c r="A23" s="1"/>
      <c r="B23" s="76" t="s">
        <v>187</v>
      </c>
      <c r="C23" s="77"/>
      <c r="D23" s="78"/>
      <c r="E23" s="9">
        <v>143643569</v>
      </c>
      <c r="F23" s="14" t="s">
        <v>3</v>
      </c>
      <c r="G23" s="1"/>
    </row>
    <row r="24" spans="1:7" x14ac:dyDescent="0.25">
      <c r="A24" s="1"/>
      <c r="B24" s="76" t="s">
        <v>31</v>
      </c>
      <c r="C24" s="77"/>
      <c r="D24" s="78"/>
      <c r="E24" s="9">
        <v>40000</v>
      </c>
      <c r="F24" s="14" t="s">
        <v>3</v>
      </c>
      <c r="G24" s="1"/>
    </row>
    <row r="25" spans="1:7" x14ac:dyDescent="0.25">
      <c r="A25" s="1"/>
      <c r="B25" s="51" t="s">
        <v>256</v>
      </c>
      <c r="C25" s="52"/>
      <c r="D25" s="53"/>
      <c r="E25" s="57">
        <f>E22-(E23-E24)</f>
        <v>17401801.787808031</v>
      </c>
      <c r="F25" s="17" t="s">
        <v>3</v>
      </c>
      <c r="G25" s="1"/>
    </row>
    <row r="26" spans="1:7" x14ac:dyDescent="0.25">
      <c r="A26" s="1"/>
      <c r="B26" s="71"/>
      <c r="C26" s="72"/>
      <c r="D26" s="72"/>
      <c r="E26" s="72"/>
      <c r="F26" s="19"/>
      <c r="G26" s="1"/>
    </row>
    <row r="27" spans="1:7" x14ac:dyDescent="0.25">
      <c r="A27" s="1"/>
      <c r="B27" s="1"/>
      <c r="C27" s="1"/>
      <c r="D27" s="1"/>
      <c r="E27" s="1"/>
      <c r="F27" s="1"/>
      <c r="G27" s="1"/>
    </row>
    <row r="28" spans="1:7" ht="28.5" customHeight="1" x14ac:dyDescent="0.25">
      <c r="A28" s="1"/>
      <c r="B28" s="127" t="s">
        <v>242</v>
      </c>
      <c r="C28" s="128"/>
      <c r="D28" s="128"/>
      <c r="E28" s="128"/>
      <c r="F28" s="129"/>
      <c r="G28" s="1"/>
    </row>
    <row r="29" spans="1:7" x14ac:dyDescent="0.25">
      <c r="A29" s="1"/>
      <c r="B29" s="152" t="s">
        <v>128</v>
      </c>
      <c r="C29" s="153"/>
      <c r="D29" s="15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0</v>
      </c>
      <c r="F29" s="14" t="s">
        <v>3</v>
      </c>
      <c r="G29" s="1"/>
    </row>
    <row r="30" spans="1:7" x14ac:dyDescent="0.25">
      <c r="A30" s="1"/>
      <c r="B30" s="152" t="s">
        <v>93</v>
      </c>
      <c r="C30" s="153"/>
      <c r="D30" s="154"/>
      <c r="E30" s="9">
        <v>2</v>
      </c>
      <c r="F30" s="14" t="s">
        <v>18</v>
      </c>
      <c r="G30" s="1"/>
    </row>
    <row r="31" spans="1:7" x14ac:dyDescent="0.25">
      <c r="A31" s="1"/>
      <c r="B31" s="145" t="s">
        <v>127</v>
      </c>
      <c r="C31" s="145"/>
      <c r="D31" s="145"/>
      <c r="E31" s="10">
        <f>E29/E30</f>
        <v>0</v>
      </c>
      <c r="F31" s="17" t="s">
        <v>3</v>
      </c>
      <c r="G31" s="1"/>
    </row>
    <row r="32" spans="1:7" x14ac:dyDescent="0.25">
      <c r="A32" s="1"/>
      <c r="B32" s="146"/>
      <c r="C32" s="147"/>
      <c r="D32" s="147"/>
      <c r="E32" s="147"/>
      <c r="F32" s="14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4slw7fcF2X5vYJfnIvdaTsFoV5g++g5K6VrDwv/WEh2pCimNcQfz63zbIvP/Te1MbCo6dtjMYVUHY6pHiePC3Q==" saltValue="yo7b0hVQyQhL4W0Mzt9mK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40" customWidth="1"/>
    <col min="2" max="2" width="22.5703125" style="40" customWidth="1"/>
    <col min="3" max="3" width="8.28515625" style="40" customWidth="1"/>
    <col min="4" max="6" width="10.7109375" style="40" customWidth="1"/>
    <col min="7" max="7" width="11.140625" style="40" customWidth="1"/>
    <col min="8" max="8" width="3.28515625" style="40" customWidth="1"/>
    <col min="9" max="9" width="4.85546875" style="40" customWidth="1"/>
    <col min="10" max="16384" width="9.140625"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8" t="s">
        <v>226</v>
      </c>
      <c r="C3" s="108"/>
      <c r="D3" s="108"/>
      <c r="E3" s="108"/>
      <c r="F3" s="108"/>
      <c r="G3" s="108"/>
      <c r="H3" s="108"/>
      <c r="I3" s="1"/>
    </row>
    <row r="4" spans="1:9" ht="15" customHeight="1" x14ac:dyDescent="0.25">
      <c r="A4" s="1"/>
      <c r="B4" s="108"/>
      <c r="C4" s="108"/>
      <c r="D4" s="108"/>
      <c r="E4" s="108"/>
      <c r="F4" s="108"/>
      <c r="G4" s="108"/>
      <c r="H4" s="10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227</v>
      </c>
      <c r="C8" s="128"/>
      <c r="D8" s="128"/>
      <c r="E8" s="128"/>
      <c r="F8" s="128"/>
      <c r="G8" s="128"/>
      <c r="H8" s="129"/>
      <c r="I8" s="1"/>
    </row>
    <row r="9" spans="1:9" ht="15" customHeight="1" x14ac:dyDescent="0.25">
      <c r="A9" s="1"/>
      <c r="B9" s="119" t="s">
        <v>228</v>
      </c>
      <c r="C9" s="120"/>
      <c r="D9" s="120"/>
      <c r="E9" s="120"/>
      <c r="F9" s="120"/>
      <c r="G9" s="120"/>
      <c r="H9" s="121"/>
      <c r="I9" s="1"/>
    </row>
    <row r="10" spans="1:9" x14ac:dyDescent="0.25">
      <c r="A10" s="1"/>
      <c r="B10" s="155" t="s">
        <v>245</v>
      </c>
      <c r="C10" s="156"/>
      <c r="D10" s="156"/>
      <c r="E10" s="156"/>
      <c r="F10" s="157"/>
      <c r="G10" s="56">
        <v>0</v>
      </c>
      <c r="H10" s="9" t="s">
        <v>3</v>
      </c>
      <c r="I10" s="1"/>
    </row>
    <row r="11" spans="1:9" x14ac:dyDescent="0.25">
      <c r="A11" s="1"/>
      <c r="B11" s="155" t="s">
        <v>246</v>
      </c>
      <c r="C11" s="156"/>
      <c r="D11" s="156"/>
      <c r="E11" s="156"/>
      <c r="F11" s="157"/>
      <c r="G11" s="56">
        <v>0</v>
      </c>
      <c r="H11" s="9" t="s">
        <v>3</v>
      </c>
      <c r="I11" s="1"/>
    </row>
    <row r="12" spans="1:9" x14ac:dyDescent="0.25">
      <c r="A12" s="1"/>
      <c r="B12" s="155" t="s">
        <v>247</v>
      </c>
      <c r="C12" s="156"/>
      <c r="D12" s="156"/>
      <c r="E12" s="156"/>
      <c r="F12" s="157"/>
      <c r="G12" s="9">
        <v>0</v>
      </c>
      <c r="H12" s="9" t="s">
        <v>3</v>
      </c>
      <c r="I12" s="1"/>
    </row>
    <row r="13" spans="1:9" x14ac:dyDescent="0.25">
      <c r="A13" s="1"/>
      <c r="B13" s="155" t="s">
        <v>248</v>
      </c>
      <c r="C13" s="156"/>
      <c r="D13" s="156"/>
      <c r="E13" s="156"/>
      <c r="F13" s="157"/>
      <c r="G13" s="9">
        <v>0</v>
      </c>
      <c r="H13" s="9" t="s">
        <v>3</v>
      </c>
      <c r="I13" s="1"/>
    </row>
    <row r="14" spans="1:9" x14ac:dyDescent="0.25">
      <c r="A14" s="1"/>
      <c r="B14" s="155" t="s">
        <v>249</v>
      </c>
      <c r="C14" s="156"/>
      <c r="D14" s="156"/>
      <c r="E14" s="156"/>
      <c r="F14" s="157"/>
      <c r="G14" s="9">
        <v>0</v>
      </c>
      <c r="H14" s="9" t="s">
        <v>3</v>
      </c>
      <c r="I14" s="1"/>
    </row>
    <row r="15" spans="1:9" x14ac:dyDescent="0.25">
      <c r="A15" s="1"/>
      <c r="B15" s="155" t="s">
        <v>250</v>
      </c>
      <c r="C15" s="156"/>
      <c r="D15" s="156"/>
      <c r="E15" s="156"/>
      <c r="F15" s="157"/>
      <c r="G15" s="9">
        <v>0</v>
      </c>
      <c r="H15" s="9" t="s">
        <v>3</v>
      </c>
      <c r="I15" s="1"/>
    </row>
    <row r="16" spans="1:9" x14ac:dyDescent="0.25">
      <c r="A16" s="1"/>
      <c r="B16" s="155" t="s">
        <v>251</v>
      </c>
      <c r="C16" s="156"/>
      <c r="D16" s="156"/>
      <c r="E16" s="156"/>
      <c r="F16" s="157"/>
      <c r="G16" s="9">
        <v>0</v>
      </c>
      <c r="H16" s="9" t="s">
        <v>3</v>
      </c>
      <c r="I16" s="1"/>
    </row>
    <row r="17" spans="1:9" x14ac:dyDescent="0.25">
      <c r="A17" s="1"/>
      <c r="B17" s="155" t="s">
        <v>252</v>
      </c>
      <c r="C17" s="156"/>
      <c r="D17" s="156"/>
      <c r="E17" s="156"/>
      <c r="F17" s="157"/>
      <c r="G17" s="9">
        <v>0</v>
      </c>
      <c r="H17" s="9" t="s">
        <v>3</v>
      </c>
      <c r="I17" s="1"/>
    </row>
    <row r="18" spans="1:9" x14ac:dyDescent="0.25">
      <c r="A18" s="1"/>
      <c r="B18" s="127" t="s">
        <v>229</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pUF01NqJbkJ/y6RC6i3YZ9l+qhDUM84YCzdze2UvU9xKEh0nUMAMP1vQtHZjKOvzHXB8WfDULHxfwwaPZgPUMg==" saltValue="xZefdKifFYNmHhWILplgtw=="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3"/>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4.28515625" style="2" customWidth="1"/>
    <col min="6" max="6" width="10" style="2" customWidth="1"/>
    <col min="7" max="7" width="2.7109375" style="2" customWidth="1"/>
    <col min="8" max="8" width="10" style="2" customWidth="1"/>
    <col min="9" max="9" width="2.7109375" style="2" customWidth="1"/>
    <col min="10" max="10" width="8.5703125"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8" t="s">
        <v>220</v>
      </c>
      <c r="C3" s="108"/>
      <c r="D3" s="108"/>
      <c r="E3" s="108"/>
      <c r="F3" s="108"/>
      <c r="G3" s="108"/>
      <c r="H3" s="108"/>
      <c r="I3" s="108"/>
      <c r="J3" s="108"/>
      <c r="K3" s="108"/>
      <c r="L3" s="1"/>
    </row>
    <row r="4" spans="1:12" ht="15" customHeight="1" x14ac:dyDescent="0.25">
      <c r="A4" s="1"/>
      <c r="B4" s="108"/>
      <c r="C4" s="108"/>
      <c r="D4" s="108"/>
      <c r="E4" s="108"/>
      <c r="F4" s="108"/>
      <c r="G4" s="108"/>
      <c r="H4" s="108"/>
      <c r="I4" s="108"/>
      <c r="J4" s="108"/>
      <c r="K4" s="10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192</v>
      </c>
      <c r="C8" s="128"/>
      <c r="D8" s="128"/>
      <c r="E8" s="128"/>
      <c r="F8" s="128"/>
      <c r="G8" s="128"/>
      <c r="H8" s="128"/>
      <c r="I8" s="128"/>
      <c r="J8" s="128"/>
      <c r="K8" s="129"/>
      <c r="L8" s="1"/>
    </row>
    <row r="9" spans="1:12" ht="39.75" customHeight="1" x14ac:dyDescent="0.25">
      <c r="A9" s="1"/>
      <c r="B9" s="18" t="s">
        <v>0</v>
      </c>
      <c r="C9" s="18" t="s">
        <v>1</v>
      </c>
      <c r="D9" s="158" t="s">
        <v>213</v>
      </c>
      <c r="E9" s="159"/>
      <c r="F9" s="158" t="s">
        <v>2</v>
      </c>
      <c r="G9" s="159"/>
      <c r="H9" s="158" t="s">
        <v>214</v>
      </c>
      <c r="I9" s="159"/>
      <c r="J9" s="158" t="s">
        <v>28</v>
      </c>
      <c r="K9" s="159"/>
      <c r="L9" s="1"/>
    </row>
    <row r="10" spans="1:12" x14ac:dyDescent="0.25">
      <c r="A10" s="1"/>
      <c r="B10" s="81" t="s">
        <v>230</v>
      </c>
      <c r="C10" s="29">
        <v>0</v>
      </c>
      <c r="D10" s="9">
        <v>0</v>
      </c>
      <c r="E10" s="14" t="s">
        <v>3</v>
      </c>
      <c r="F10" s="39">
        <f>IFERROR(D10/C10,0)</f>
        <v>0</v>
      </c>
      <c r="G10" s="14" t="s">
        <v>3</v>
      </c>
      <c r="H10" s="9">
        <v>0</v>
      </c>
      <c r="I10" s="14" t="s">
        <v>3</v>
      </c>
      <c r="J10" s="9">
        <v>0</v>
      </c>
      <c r="K10" s="14" t="s">
        <v>3</v>
      </c>
      <c r="L10" s="1"/>
    </row>
    <row r="11" spans="1:12" x14ac:dyDescent="0.25">
      <c r="A11" s="1"/>
      <c r="B11" s="71" t="s">
        <v>193</v>
      </c>
      <c r="C11" s="72"/>
      <c r="D11" s="19"/>
      <c r="E11" s="75"/>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55"/>
      <c r="L49" s="55"/>
    </row>
    <row r="50" spans="1:12" x14ac:dyDescent="0.25">
      <c r="A50" s="55"/>
      <c r="L50" s="55"/>
    </row>
    <row r="51" spans="1:12" x14ac:dyDescent="0.25">
      <c r="A51" s="55"/>
      <c r="L51" s="55"/>
    </row>
    <row r="52" spans="1:12" x14ac:dyDescent="0.25">
      <c r="A52" s="55"/>
      <c r="L52" s="55"/>
    </row>
    <row r="53" spans="1:12" x14ac:dyDescent="0.25">
      <c r="L53" s="55"/>
    </row>
  </sheetData>
  <sheetProtection algorithmName="SHA-512" hashValue="qux4iIjUHY6yYiUKsatlnJNPnc1ThGFLQbQkkMXUaCltyDeVAKsi7+8H0sr/d24AHYnfTVpwjg7+3ZTmd4vi5Q==" saltValue="p5nFYzAbgpAvob4KGR1fd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221</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75</v>
      </c>
      <c r="C8" s="72"/>
      <c r="D8" s="72"/>
      <c r="E8" s="72"/>
      <c r="F8" s="19"/>
      <c r="G8" s="1"/>
    </row>
    <row r="9" spans="1:7" ht="17.25" customHeight="1" x14ac:dyDescent="0.25">
      <c r="A9" s="1"/>
      <c r="B9" s="69" t="s">
        <v>15</v>
      </c>
      <c r="C9" s="69" t="s">
        <v>10</v>
      </c>
      <c r="D9" s="70"/>
      <c r="E9" s="69"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253</v>
      </c>
      <c r="C11" s="21">
        <v>336000</v>
      </c>
      <c r="D11" s="14" t="s">
        <v>3</v>
      </c>
      <c r="E11" s="9">
        <v>135350</v>
      </c>
      <c r="F11" s="14" t="s">
        <v>3</v>
      </c>
      <c r="G11" s="1"/>
    </row>
    <row r="12" spans="1:7" x14ac:dyDescent="0.25">
      <c r="A12" s="1"/>
      <c r="B12" s="71" t="s">
        <v>148</v>
      </c>
      <c r="C12" s="12">
        <f>SUM(C10:C11)</f>
        <v>336000</v>
      </c>
      <c r="D12" s="13" t="s">
        <v>3</v>
      </c>
      <c r="E12" s="12">
        <f>SUM(E10:E11)</f>
        <v>135350</v>
      </c>
      <c r="F12" s="13" t="s">
        <v>3</v>
      </c>
      <c r="G12" s="1"/>
    </row>
    <row r="13" spans="1:7" x14ac:dyDescent="0.25">
      <c r="A13" s="1"/>
      <c r="B13" s="71" t="s">
        <v>188</v>
      </c>
      <c r="C13" s="12">
        <f>C12*(1+'Fane 13. Nøgletal'!C15)</f>
        <v>347961.60000000003</v>
      </c>
      <c r="D13" s="13" t="s">
        <v>3</v>
      </c>
      <c r="E13" s="12">
        <f>E12*(1+'Fane 13. Nøgletal'!C15)</f>
        <v>140168.46000000002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55"/>
      <c r="B46" s="55"/>
      <c r="C46" s="55"/>
      <c r="D46" s="55"/>
      <c r="E46" s="55"/>
      <c r="F46" s="55"/>
      <c r="G46" s="55"/>
    </row>
    <row r="47" spans="1:7" x14ac:dyDescent="0.25">
      <c r="A47" s="55"/>
      <c r="B47" s="55"/>
      <c r="C47" s="55"/>
      <c r="D47" s="55"/>
      <c r="E47" s="55"/>
      <c r="F47" s="55"/>
      <c r="G47" s="55"/>
    </row>
    <row r="48" spans="1:7" x14ac:dyDescent="0.25">
      <c r="A48" s="55"/>
      <c r="B48" s="55"/>
      <c r="C48" s="55"/>
      <c r="D48" s="55"/>
      <c r="E48" s="55"/>
      <c r="F48" s="55"/>
      <c r="G48" s="55"/>
    </row>
    <row r="49" spans="1:7" x14ac:dyDescent="0.25">
      <c r="A49" s="55"/>
      <c r="B49" s="55"/>
      <c r="C49" s="55"/>
      <c r="D49" s="55"/>
      <c r="E49" s="55"/>
      <c r="F49" s="55"/>
      <c r="G49" s="55"/>
    </row>
  </sheetData>
  <sheetProtection algorithmName="SHA-512" hashValue="iSTkMIS5QdyuSdjPjzEWgnuFBz27/M4O07vpxlbj6ETi/wufF3YL9pAGgrix2pxWDSh49ZZijAzi7ilTSS0jTg==" saltValue="v7Tt7FJ6sdWC9B5DU9Rfz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222</v>
      </c>
      <c r="C3" s="108"/>
      <c r="D3" s="108"/>
      <c r="E3" s="108"/>
      <c r="F3" s="108"/>
      <c r="G3" s="1"/>
    </row>
    <row r="4" spans="1:7" ht="15" customHeight="1" x14ac:dyDescent="0.25">
      <c r="A4" s="1"/>
      <c r="B4" s="108"/>
      <c r="C4" s="108"/>
      <c r="D4" s="108"/>
      <c r="E4" s="108"/>
      <c r="F4" s="10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7" t="s">
        <v>88</v>
      </c>
      <c r="C9" s="128"/>
      <c r="D9" s="128"/>
      <c r="E9" s="128"/>
      <c r="F9" s="129"/>
      <c r="G9" s="1"/>
    </row>
    <row r="10" spans="1:7" ht="26.25" x14ac:dyDescent="0.25">
      <c r="A10" s="1"/>
      <c r="B10" s="69" t="s">
        <v>15</v>
      </c>
      <c r="C10" s="69" t="s">
        <v>10</v>
      </c>
      <c r="D10" s="70"/>
      <c r="E10" s="69" t="s">
        <v>29</v>
      </c>
      <c r="F10" s="66"/>
      <c r="G10" s="1"/>
    </row>
    <row r="11" spans="1:7" x14ac:dyDescent="0.25">
      <c r="A11" s="1"/>
      <c r="B11" s="22" t="s">
        <v>255</v>
      </c>
      <c r="C11" s="21">
        <v>0</v>
      </c>
      <c r="D11" s="14" t="s">
        <v>3</v>
      </c>
      <c r="E11" s="9">
        <v>0</v>
      </c>
      <c r="F11" s="14" t="s">
        <v>3</v>
      </c>
      <c r="G11" s="1"/>
    </row>
    <row r="12" spans="1:7" x14ac:dyDescent="0.25">
      <c r="A12" s="1"/>
      <c r="B12" s="71" t="s">
        <v>195</v>
      </c>
      <c r="C12" s="12">
        <f>SUM(C11:C11)</f>
        <v>0</v>
      </c>
      <c r="D12" s="13" t="s">
        <v>3</v>
      </c>
      <c r="E12" s="12">
        <f>SUM(E11:E11)</f>
        <v>0</v>
      </c>
      <c r="F12" s="13" t="s">
        <v>3</v>
      </c>
      <c r="G12" s="1"/>
    </row>
    <row r="13" spans="1:7" x14ac:dyDescent="0.25">
      <c r="A13" s="1"/>
      <c r="B13" s="71"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pm7IcqgnFx630VkPKvULAh0KBZfm0xMuu4v0jTATIEBYXOqMTTT/wjz5IHDV5Ivq44twOACFjGMmjJNFZFcPlw==" saltValue="aUrB6Wk0ohaXBL17/isVF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223</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112</v>
      </c>
      <c r="C8" s="128"/>
      <c r="D8" s="128"/>
      <c r="E8" s="128"/>
      <c r="F8" s="129"/>
      <c r="G8" s="1"/>
    </row>
    <row r="9" spans="1:7" ht="15" customHeight="1" x14ac:dyDescent="0.25">
      <c r="A9" s="1"/>
      <c r="B9" s="65" t="s">
        <v>113</v>
      </c>
      <c r="C9" s="119" t="s">
        <v>10</v>
      </c>
      <c r="D9" s="121"/>
      <c r="E9" s="119" t="s">
        <v>29</v>
      </c>
      <c r="F9" s="121"/>
      <c r="G9" s="1"/>
    </row>
    <row r="10" spans="1:7" x14ac:dyDescent="0.25">
      <c r="A10" s="1"/>
      <c r="B10" s="22" t="s">
        <v>243</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TbmU62JI/rhQSWXNhGTO4ghiKXJpaHCU5O/74MJu8vkZAJG+Mu3s1hdnQTY1S/5BgHprwbIAjM9eRObeNdFvqQ==" saltValue="RrBXAlmZIvfT9BljGh9ul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6.140625" style="2" customWidth="1"/>
    <col min="2" max="2" width="36.28515625" style="2" customWidth="1"/>
    <col min="3" max="3" width="17.140625" style="2" customWidth="1"/>
    <col min="4" max="4" width="3.28515625" style="2" customWidth="1"/>
    <col min="5" max="5" width="16.42578125" style="2" customWidth="1"/>
    <col min="6" max="6" width="2.8554687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224</v>
      </c>
      <c r="C3" s="130"/>
      <c r="D3" s="130"/>
      <c r="E3" s="130"/>
      <c r="F3" s="130"/>
      <c r="G3" s="1"/>
    </row>
    <row r="4" spans="1:7" ht="25.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7" t="s">
        <v>85</v>
      </c>
      <c r="C10" s="128"/>
      <c r="D10" s="128"/>
      <c r="E10" s="128"/>
      <c r="F10" s="129"/>
      <c r="G10" s="1"/>
    </row>
    <row r="11" spans="1:7" ht="26.25" x14ac:dyDescent="0.25">
      <c r="A11" s="1"/>
      <c r="B11" s="65" t="s">
        <v>16</v>
      </c>
      <c r="C11" s="65" t="s">
        <v>10</v>
      </c>
      <c r="D11" s="66"/>
      <c r="E11" s="65" t="s">
        <v>29</v>
      </c>
      <c r="F11" s="66"/>
      <c r="G11" s="1"/>
    </row>
    <row r="12" spans="1:7" x14ac:dyDescent="0.25">
      <c r="A12" s="1"/>
      <c r="B12" s="22" t="s">
        <v>244</v>
      </c>
      <c r="C12" s="9">
        <v>0</v>
      </c>
      <c r="D12" s="14" t="s">
        <v>3</v>
      </c>
      <c r="E12" s="9">
        <v>0</v>
      </c>
      <c r="F12" s="14" t="s">
        <v>3</v>
      </c>
      <c r="G12" s="1"/>
    </row>
    <row r="13" spans="1:7" x14ac:dyDescent="0.25">
      <c r="A13" s="1"/>
      <c r="B13" s="71" t="s">
        <v>196</v>
      </c>
      <c r="C13" s="12">
        <f>SUM(C12:C12)</f>
        <v>0</v>
      </c>
      <c r="D13" s="13" t="s">
        <v>3</v>
      </c>
      <c r="E13" s="12">
        <f>SUM(E12:E12)</f>
        <v>0</v>
      </c>
      <c r="F13" s="13" t="s">
        <v>3</v>
      </c>
      <c r="G13" s="1"/>
    </row>
    <row r="14" spans="1:7" x14ac:dyDescent="0.25">
      <c r="A14" s="1"/>
      <c r="B14" s="71"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KuRLVngnFdsBqE14wUd/LGDk9UpX8CheRn7P2TuckEa2vQ+bsJ+zxweS4uXlPVtdlNahH1NNV6qY2oCnl8cevA==" saltValue="cZHjDnMy8fwDICm+rkEVA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9" customWidth="1"/>
    <col min="4" max="4" width="9" style="2" customWidth="1"/>
    <col min="5" max="16384" width="9.140625" style="2"/>
  </cols>
  <sheetData>
    <row r="1" spans="1:4" x14ac:dyDescent="0.25">
      <c r="A1" s="1"/>
      <c r="B1" s="1"/>
      <c r="C1" s="44"/>
      <c r="D1" s="1"/>
    </row>
    <row r="2" spans="1:4" x14ac:dyDescent="0.25">
      <c r="A2" s="1"/>
      <c r="B2" s="1"/>
      <c r="C2" s="44"/>
      <c r="D2" s="1"/>
    </row>
    <row r="3" spans="1:4" ht="15" customHeight="1" x14ac:dyDescent="0.25">
      <c r="A3" s="1"/>
      <c r="B3" s="130" t="s">
        <v>225</v>
      </c>
      <c r="C3" s="130"/>
      <c r="D3" s="1"/>
    </row>
    <row r="4" spans="1:4" ht="25.5" customHeight="1" x14ac:dyDescent="0.25">
      <c r="A4" s="1"/>
      <c r="B4" s="130"/>
      <c r="C4" s="130"/>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71" t="s">
        <v>13</v>
      </c>
      <c r="C8" s="45"/>
      <c r="D8" s="1"/>
    </row>
    <row r="9" spans="1:4" x14ac:dyDescent="0.25">
      <c r="A9" s="1"/>
      <c r="B9" s="79" t="s">
        <v>101</v>
      </c>
      <c r="C9" s="46">
        <v>1.2699999999999999E-2</v>
      </c>
      <c r="D9" s="1"/>
    </row>
    <row r="10" spans="1:4" x14ac:dyDescent="0.25">
      <c r="A10" s="1"/>
      <c r="B10" s="79" t="s">
        <v>21</v>
      </c>
      <c r="C10" s="46">
        <v>1.7500000000000002E-2</v>
      </c>
      <c r="D10" s="1"/>
    </row>
    <row r="11" spans="1:4" x14ac:dyDescent="0.25">
      <c r="A11" s="1"/>
      <c r="B11" s="79"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7"/>
      <c r="C16" s="129"/>
      <c r="D16" s="1"/>
    </row>
    <row r="17" spans="1:4" x14ac:dyDescent="0.25">
      <c r="A17" s="1"/>
      <c r="B17" s="1"/>
      <c r="C17" s="44"/>
      <c r="D17" s="1"/>
    </row>
    <row r="18" spans="1:4" x14ac:dyDescent="0.25">
      <c r="A18" s="1"/>
      <c r="B18" s="1"/>
      <c r="C18" s="44"/>
      <c r="D18" s="1"/>
    </row>
    <row r="19" spans="1:4" x14ac:dyDescent="0.25">
      <c r="A19" s="1"/>
      <c r="B19" s="71" t="s">
        <v>89</v>
      </c>
      <c r="C19" s="45"/>
      <c r="D19" s="1"/>
    </row>
    <row r="20" spans="1:4" x14ac:dyDescent="0.25">
      <c r="A20" s="1"/>
      <c r="B20" s="79" t="s">
        <v>103</v>
      </c>
      <c r="C20" s="48">
        <v>9.1000000000000004E-3</v>
      </c>
      <c r="D20" s="1"/>
    </row>
    <row r="21" spans="1:4" x14ac:dyDescent="0.25">
      <c r="A21" s="1"/>
      <c r="B21" s="79" t="s">
        <v>104</v>
      </c>
      <c r="C21" s="48">
        <v>1.77E-2</v>
      </c>
      <c r="D21" s="1"/>
    </row>
    <row r="22" spans="1:4" x14ac:dyDescent="0.25">
      <c r="A22" s="1"/>
      <c r="B22" s="79" t="s">
        <v>105</v>
      </c>
      <c r="C22" s="48">
        <v>8.6999999999999994E-3</v>
      </c>
      <c r="D22" s="1"/>
    </row>
    <row r="23" spans="1:4" x14ac:dyDescent="0.25">
      <c r="A23" s="1"/>
      <c r="B23" s="79" t="s">
        <v>106</v>
      </c>
      <c r="C23" s="48">
        <v>2.8399999999999998E-2</v>
      </c>
      <c r="D23" s="1"/>
    </row>
    <row r="24" spans="1:4" x14ac:dyDescent="0.25">
      <c r="A24" s="1"/>
      <c r="B24" s="79" t="s">
        <v>120</v>
      </c>
      <c r="C24" s="48">
        <v>2.75E-2</v>
      </c>
      <c r="D24" s="1"/>
    </row>
    <row r="25" spans="1:4" x14ac:dyDescent="0.25">
      <c r="A25" s="1"/>
      <c r="B25" s="79" t="s">
        <v>151</v>
      </c>
      <c r="C25" s="48">
        <v>1.4800000000000001E-2</v>
      </c>
      <c r="D25" s="1"/>
    </row>
    <row r="26" spans="1:4" x14ac:dyDescent="0.25">
      <c r="A26" s="1"/>
      <c r="B26" s="24" t="s">
        <v>191</v>
      </c>
      <c r="C26" s="48">
        <v>0</v>
      </c>
      <c r="D26" s="1"/>
    </row>
    <row r="27" spans="1:4" x14ac:dyDescent="0.25">
      <c r="A27" s="1"/>
      <c r="B27" s="71"/>
      <c r="C27" s="45"/>
      <c r="D27" s="1"/>
    </row>
    <row r="28" spans="1:4" x14ac:dyDescent="0.25">
      <c r="A28" s="1"/>
      <c r="B28" s="1"/>
      <c r="C28" s="44"/>
      <c r="D28" s="1"/>
    </row>
    <row r="29" spans="1:4" x14ac:dyDescent="0.25">
      <c r="A29" s="1"/>
      <c r="B29" s="1"/>
      <c r="C29" s="44"/>
      <c r="D29" s="1"/>
    </row>
    <row r="30" spans="1:4" x14ac:dyDescent="0.25">
      <c r="A30" s="1"/>
      <c r="B30" s="71" t="s">
        <v>90</v>
      </c>
      <c r="C30" s="45"/>
      <c r="D30" s="1"/>
    </row>
    <row r="31" spans="1:4" x14ac:dyDescent="0.25">
      <c r="A31" s="1"/>
      <c r="B31" s="79" t="s">
        <v>107</v>
      </c>
      <c r="C31" s="46">
        <v>0.02</v>
      </c>
      <c r="D31" s="1"/>
    </row>
    <row r="32" spans="1:4" x14ac:dyDescent="0.25">
      <c r="A32" s="1"/>
      <c r="B32" s="71"/>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row r="50" spans="1:4" x14ac:dyDescent="0.25">
      <c r="A50" s="55"/>
      <c r="B50" s="55"/>
      <c r="C50" s="89"/>
      <c r="D50" s="55"/>
    </row>
    <row r="51" spans="1:4" x14ac:dyDescent="0.25">
      <c r="A51" s="55"/>
      <c r="B51" s="55"/>
      <c r="C51" s="89"/>
      <c r="D51" s="55"/>
    </row>
    <row r="52" spans="1:4" x14ac:dyDescent="0.25">
      <c r="A52" s="55"/>
      <c r="B52" s="55"/>
      <c r="C52" s="89"/>
      <c r="D52" s="55"/>
    </row>
    <row r="53" spans="1:4" x14ac:dyDescent="0.25">
      <c r="A53" s="55"/>
      <c r="B53" s="55"/>
      <c r="C53" s="89"/>
      <c r="D53" s="55"/>
    </row>
  </sheetData>
  <sheetProtection algorithmName="SHA-512" hashValue="UPwuK+G6j4ANCKNtm39TlaGjrERMjdnt9BxvhZGwM0QFtLsb+r1oeBqjrKhKJD2l3SdkISGr4JTPJpp24PiEyQ==" saltValue="JT0INtH9qQa+BCq03VEqqw=="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165</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71" t="s">
        <v>12</v>
      </c>
      <c r="C7" s="72"/>
      <c r="D7" s="19"/>
      <c r="E7" s="1"/>
    </row>
    <row r="8" spans="1:5" x14ac:dyDescent="0.25">
      <c r="A8" s="1"/>
      <c r="B8" s="68" t="s">
        <v>116</v>
      </c>
      <c r="C8" s="7">
        <f>'Fane 3. Omkostninger i ØR2022'!E20</f>
        <v>97730242.426141053</v>
      </c>
      <c r="D8" s="8" t="s">
        <v>3</v>
      </c>
      <c r="E8" s="1"/>
    </row>
    <row r="9" spans="1:5" ht="17.100000000000001" customHeight="1" x14ac:dyDescent="0.25">
      <c r="A9" s="1"/>
      <c r="B9" s="23" t="s">
        <v>35</v>
      </c>
      <c r="C9" s="7">
        <f>'Fane 10.1. Varige tillæg'!C13</f>
        <v>347961.60000000003</v>
      </c>
      <c r="D9" s="8" t="s">
        <v>3</v>
      </c>
      <c r="E9" s="1"/>
    </row>
    <row r="10" spans="1:5" ht="17.100000000000001" customHeight="1" x14ac:dyDescent="0.25">
      <c r="A10" s="1"/>
      <c r="B10" s="23" t="s">
        <v>36</v>
      </c>
      <c r="C10" s="9">
        <f>'Fane 10.1. Varige tillæg'!E13</f>
        <v>140168.46000000002</v>
      </c>
      <c r="D10" s="8" t="s">
        <v>3</v>
      </c>
      <c r="E10" s="1"/>
    </row>
    <row r="11" spans="1:5" ht="17.100000000000001" customHeight="1" x14ac:dyDescent="0.25">
      <c r="A11" s="1"/>
      <c r="B11" s="23" t="s">
        <v>26</v>
      </c>
      <c r="C11" s="9">
        <f>-'Fane 12. Bortfald'!C14</f>
        <v>0</v>
      </c>
      <c r="D11" s="8" t="s">
        <v>3</v>
      </c>
      <c r="E11" s="1"/>
    </row>
    <row r="12" spans="1:5" ht="17.100000000000001" customHeight="1" x14ac:dyDescent="0.25">
      <c r="A12" s="1"/>
      <c r="B12" s="23" t="s">
        <v>25</v>
      </c>
      <c r="C12" s="9">
        <f>-'Fane 12. Bortfald'!E14</f>
        <v>0</v>
      </c>
      <c r="D12" s="8" t="s">
        <v>3</v>
      </c>
      <c r="E12" s="1"/>
    </row>
    <row r="13" spans="1:5" ht="17.100000000000001" customHeight="1" x14ac:dyDescent="0.25">
      <c r="A13" s="1"/>
      <c r="B13" s="23" t="s">
        <v>114</v>
      </c>
      <c r="C13" s="9">
        <f>'Fane 11. Tilknyttet virksomhed'!C12</f>
        <v>0</v>
      </c>
      <c r="D13" s="8" t="s">
        <v>3</v>
      </c>
      <c r="E13" s="1"/>
    </row>
    <row r="14" spans="1:5" ht="17.100000000000001" customHeight="1" x14ac:dyDescent="0.25">
      <c r="A14" s="1"/>
      <c r="B14" s="23" t="s">
        <v>115</v>
      </c>
      <c r="C14" s="9">
        <f>'Fane 11. Tilknyttet virksomhed'!E12</f>
        <v>0</v>
      </c>
      <c r="D14" s="8" t="s">
        <v>3</v>
      </c>
      <c r="E14" s="1"/>
    </row>
    <row r="15" spans="1:5" ht="17.100000000000001" customHeight="1" x14ac:dyDescent="0.25">
      <c r="A15" s="1"/>
      <c r="B15" s="23" t="s">
        <v>17</v>
      </c>
      <c r="C15" s="9">
        <f>SUM(C8:C14)*'Fane 13. Nøgletal'!C15</f>
        <v>3496574.0605066209</v>
      </c>
      <c r="D15" s="8" t="s">
        <v>3</v>
      </c>
      <c r="E15" s="1"/>
    </row>
    <row r="16" spans="1:5" ht="17.100000000000001" customHeight="1" x14ac:dyDescent="0.25">
      <c r="A16" s="1"/>
      <c r="B16" s="23" t="s">
        <v>9</v>
      </c>
      <c r="C16" s="9">
        <f>-SUM(C8,C9:C15)*'Fane 5. Individuelt eff. krav'!G9</f>
        <v>-2034298.9309329535</v>
      </c>
      <c r="D16" s="8" t="s">
        <v>3</v>
      </c>
      <c r="E16" s="1"/>
    </row>
    <row r="17" spans="1:5" ht="17.100000000000001" customHeight="1" x14ac:dyDescent="0.25">
      <c r="A17" s="1"/>
      <c r="B17" s="23" t="s">
        <v>23</v>
      </c>
      <c r="C17" s="9">
        <f>-'Fane 4.1. Gen. krav - drift'!G43</f>
        <v>-788706.99725014379</v>
      </c>
      <c r="D17" s="8" t="s">
        <v>3</v>
      </c>
      <c r="E17" s="1"/>
    </row>
    <row r="18" spans="1:5" ht="17.100000000000001" customHeight="1" x14ac:dyDescent="0.25">
      <c r="A18" s="1"/>
      <c r="B18" s="23" t="s">
        <v>24</v>
      </c>
      <c r="C18" s="9">
        <f>-'Fane 4.2. Gen. krav - anlæg'!G43</f>
        <v>0</v>
      </c>
      <c r="D18" s="8" t="s">
        <v>3</v>
      </c>
      <c r="E18" s="1"/>
    </row>
    <row r="19" spans="1:5" ht="17.100000000000001" customHeight="1" x14ac:dyDescent="0.25">
      <c r="A19" s="1"/>
      <c r="B19" s="51" t="s">
        <v>19</v>
      </c>
      <c r="C19" s="10">
        <f>SUM(C8,C9:C18)</f>
        <v>98891940.618464574</v>
      </c>
      <c r="D19" s="11" t="s">
        <v>3</v>
      </c>
      <c r="E19" s="1"/>
    </row>
    <row r="20" spans="1:5" ht="15" customHeight="1" x14ac:dyDescent="0.25">
      <c r="A20" s="1"/>
      <c r="B20" s="71" t="s">
        <v>11</v>
      </c>
      <c r="C20" s="72"/>
      <c r="D20" s="19"/>
      <c r="E20" s="1"/>
    </row>
    <row r="21" spans="1:5" ht="15" customHeight="1" x14ac:dyDescent="0.25">
      <c r="A21" s="1"/>
      <c r="B21" s="65" t="s">
        <v>11</v>
      </c>
      <c r="C21" s="10">
        <f>'Fane 6. Ikke-påvirkelige omk.'!C18</f>
        <v>62482892.164876804</v>
      </c>
      <c r="D21" s="11" t="s">
        <v>3</v>
      </c>
      <c r="E21" s="1"/>
    </row>
    <row r="22" spans="1:5" ht="15" customHeight="1" x14ac:dyDescent="0.25">
      <c r="A22" s="1"/>
      <c r="B22" s="71" t="s">
        <v>80</v>
      </c>
      <c r="C22" s="72"/>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72"/>
      <c r="D28" s="19"/>
      <c r="E28" s="1"/>
    </row>
    <row r="29" spans="1:5" x14ac:dyDescent="0.25">
      <c r="A29" s="1"/>
      <c r="B29" s="80" t="s">
        <v>129</v>
      </c>
      <c r="C29" s="10">
        <f>'Fane 7. Kontrol af ØR2021'!E31</f>
        <v>0</v>
      </c>
      <c r="D29" s="11" t="s">
        <v>3</v>
      </c>
      <c r="E29" s="1"/>
    </row>
    <row r="30" spans="1:5" x14ac:dyDescent="0.25">
      <c r="A30" s="1"/>
      <c r="B30" s="25" t="s">
        <v>153</v>
      </c>
      <c r="C30" s="72"/>
      <c r="D30" s="19"/>
      <c r="E30" s="1"/>
    </row>
    <row r="31" spans="1:5" x14ac:dyDescent="0.25">
      <c r="A31" s="1"/>
      <c r="B31" s="80" t="s">
        <v>154</v>
      </c>
      <c r="C31" s="10">
        <f>'Fane 8. Skattesagen'!G12</f>
        <v>0</v>
      </c>
      <c r="D31" s="11" t="s">
        <v>3</v>
      </c>
      <c r="E31" s="1"/>
    </row>
    <row r="32" spans="1:5" x14ac:dyDescent="0.25">
      <c r="A32" s="1"/>
      <c r="B32" s="71" t="s">
        <v>84</v>
      </c>
      <c r="C32" s="36">
        <f>SUM(C19,C21,C27,C29,C31)</f>
        <v>161374832.78334138</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soZeBo7O7h/1AHlUflCkjherLvuodhJ/9pOG5mGX6A6jMZsb6mYnwLyoeQNPF/fHmSvO66U0SPRFYOcOJ1AEQ==" saltValue="AaBRhaK+jz+VqOHat5SRd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0.5703125" style="2" customWidth="1"/>
    <col min="3" max="3" width="11.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166</v>
      </c>
      <c r="C3" s="108"/>
      <c r="D3" s="108"/>
      <c r="E3" s="1"/>
    </row>
    <row r="4" spans="1:5" ht="15" customHeight="1" x14ac:dyDescent="0.25">
      <c r="A4" s="1"/>
      <c r="B4" s="108"/>
      <c r="C4" s="108"/>
      <c r="D4" s="108"/>
      <c r="E4" s="1"/>
    </row>
    <row r="5" spans="1:5" x14ac:dyDescent="0.25">
      <c r="A5" s="1"/>
      <c r="B5" s="109"/>
      <c r="C5" s="109"/>
      <c r="D5" s="109"/>
      <c r="E5" s="1"/>
    </row>
    <row r="6" spans="1:5" x14ac:dyDescent="0.25">
      <c r="A6" s="1"/>
      <c r="B6" s="1"/>
      <c r="C6" s="1"/>
      <c r="D6" s="1"/>
      <c r="E6" s="1"/>
    </row>
    <row r="7" spans="1:5" x14ac:dyDescent="0.25">
      <c r="A7" s="1"/>
      <c r="B7" s="71" t="s">
        <v>12</v>
      </c>
      <c r="C7" s="72"/>
      <c r="D7" s="19"/>
      <c r="E7" s="1"/>
    </row>
    <row r="8" spans="1:5" ht="15" customHeight="1" x14ac:dyDescent="0.25">
      <c r="A8" s="1"/>
      <c r="B8" s="68" t="s">
        <v>117</v>
      </c>
      <c r="C8" s="7">
        <f>'Fane 2.1. Økonomisk ramme 2023'!C19</f>
        <v>98891940.618464574</v>
      </c>
      <c r="D8" s="8" t="s">
        <v>3</v>
      </c>
      <c r="E8" s="1"/>
    </row>
    <row r="9" spans="1:5" ht="15" customHeight="1" x14ac:dyDescent="0.25">
      <c r="A9" s="1"/>
      <c r="B9" s="64" t="s">
        <v>17</v>
      </c>
      <c r="C9" s="9">
        <f>SUM(C8:C8)*'Fane 13. Nøgletal'!C15</f>
        <v>3520553.086017339</v>
      </c>
      <c r="D9" s="8" t="s">
        <v>3</v>
      </c>
      <c r="E9" s="1"/>
    </row>
    <row r="10" spans="1:5" ht="15" customHeight="1" x14ac:dyDescent="0.25">
      <c r="A10" s="1"/>
      <c r="B10" s="64" t="s">
        <v>9</v>
      </c>
      <c r="C10" s="9">
        <f>-SUM(C8:C9)*'Fane 5. Individuelt eff. krav'!G9</f>
        <v>-2048249.8740896382</v>
      </c>
      <c r="D10" s="8" t="s">
        <v>3</v>
      </c>
      <c r="E10" s="1"/>
    </row>
    <row r="11" spans="1:5" ht="15" customHeight="1" x14ac:dyDescent="0.25">
      <c r="A11" s="1"/>
      <c r="B11" s="64" t="s">
        <v>23</v>
      </c>
      <c r="C11" s="9">
        <f>-'Fane 4.1. Gen. krav - drift'!G48</f>
        <v>-800449.26702520391</v>
      </c>
      <c r="D11" s="8" t="s">
        <v>3</v>
      </c>
      <c r="E11" s="1"/>
    </row>
    <row r="12" spans="1:5" ht="15" customHeight="1" x14ac:dyDescent="0.25">
      <c r="A12" s="1"/>
      <c r="B12" s="64" t="s">
        <v>24</v>
      </c>
      <c r="C12" s="9">
        <f>-'Fane 4.2. Gen. krav - anlæg'!G48</f>
        <v>0</v>
      </c>
      <c r="D12" s="8" t="s">
        <v>3</v>
      </c>
      <c r="E12" s="1"/>
    </row>
    <row r="13" spans="1:5" ht="15" customHeight="1" x14ac:dyDescent="0.25">
      <c r="A13" s="1"/>
      <c r="B13" s="33" t="s">
        <v>19</v>
      </c>
      <c r="C13" s="10">
        <f>SUM(C8:C12)</f>
        <v>99563794.563367069</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f>
        <v>64707283.125946425</v>
      </c>
      <c r="D15" s="11" t="s">
        <v>3</v>
      </c>
      <c r="E15" s="1"/>
    </row>
    <row r="16" spans="1:5" x14ac:dyDescent="0.25">
      <c r="A16" s="1"/>
      <c r="B16" s="25" t="s">
        <v>128</v>
      </c>
      <c r="C16" s="72"/>
      <c r="D16" s="19"/>
      <c r="E16" s="1"/>
    </row>
    <row r="17" spans="1:5" ht="15" customHeight="1" x14ac:dyDescent="0.25">
      <c r="A17" s="1"/>
      <c r="B17" s="80" t="s">
        <v>129</v>
      </c>
      <c r="C17" s="10">
        <f>'Fane 7. Kontrol af ØR2021'!E31</f>
        <v>0</v>
      </c>
      <c r="D17" s="11" t="s">
        <v>3</v>
      </c>
      <c r="E17" s="1"/>
    </row>
    <row r="18" spans="1:5" x14ac:dyDescent="0.25">
      <c r="A18" s="1"/>
      <c r="B18" s="25" t="s">
        <v>153</v>
      </c>
      <c r="C18" s="72"/>
      <c r="D18" s="19"/>
      <c r="E18" s="1"/>
    </row>
    <row r="19" spans="1:5" x14ac:dyDescent="0.25">
      <c r="A19" s="1"/>
      <c r="B19" s="80" t="s">
        <v>154</v>
      </c>
      <c r="C19" s="10">
        <f>'Fane 8. Skattesagen'!G13</f>
        <v>0</v>
      </c>
      <c r="D19" s="11" t="s">
        <v>3</v>
      </c>
      <c r="E19" s="1"/>
    </row>
    <row r="20" spans="1:5" x14ac:dyDescent="0.25">
      <c r="A20" s="1"/>
      <c r="B20" s="71" t="s">
        <v>138</v>
      </c>
      <c r="C20" s="12">
        <f>SUM(C13,C15,C17,C19)</f>
        <v>164271077.6893135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4yCCl8gaofQDmOoZXf/y12WliyX4ikJwIG5k+YYtRio5KYXAMNZSuiHd1rY/40L3SjLwaNN4S81BsFZH5cAdFA==" saltValue="we4rWVNG3hy5j4/xtafVB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0.85546875" style="2" customWidth="1"/>
    <col min="3" max="3" width="11.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167</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71" t="s">
        <v>12</v>
      </c>
      <c r="C7" s="72"/>
      <c r="D7" s="19"/>
      <c r="E7" s="1"/>
    </row>
    <row r="8" spans="1:5" ht="15" customHeight="1" x14ac:dyDescent="0.25">
      <c r="A8" s="1"/>
      <c r="B8" s="68" t="s">
        <v>139</v>
      </c>
      <c r="C8" s="7">
        <f>'Fane 2.2. Økonomisk ramme 2024'!C13</f>
        <v>99563794.563367069</v>
      </c>
      <c r="D8" s="8" t="s">
        <v>3</v>
      </c>
      <c r="E8" s="1"/>
    </row>
    <row r="9" spans="1:5" ht="15" customHeight="1" x14ac:dyDescent="0.25">
      <c r="A9" s="1"/>
      <c r="B9" s="64" t="s">
        <v>17</v>
      </c>
      <c r="C9" s="9">
        <f>SUM(C8:C8)*'Fane 13. Nøgletal'!C15</f>
        <v>3544471.0864558676</v>
      </c>
      <c r="D9" s="8" t="s">
        <v>3</v>
      </c>
      <c r="E9" s="1"/>
    </row>
    <row r="10" spans="1:5" ht="15" customHeight="1" x14ac:dyDescent="0.25">
      <c r="A10" s="1"/>
      <c r="B10" s="64" t="s">
        <v>9</v>
      </c>
      <c r="C10" s="9">
        <f>-SUM(C8:C9)*'Fane 5. Individuelt eff. krav'!G9</f>
        <v>-2062165.3129964587</v>
      </c>
      <c r="D10" s="8" t="s">
        <v>3</v>
      </c>
      <c r="E10" s="1"/>
    </row>
    <row r="11" spans="1:5" ht="15" customHeight="1" x14ac:dyDescent="0.25">
      <c r="A11" s="1"/>
      <c r="B11" s="64" t="s">
        <v>23</v>
      </c>
      <c r="C11" s="9">
        <f>-'Fane 4.1. Gen. krav - drift'!G53</f>
        <v>-812366.35571267514</v>
      </c>
      <c r="D11" s="8" t="s">
        <v>3</v>
      </c>
      <c r="E11" s="1"/>
    </row>
    <row r="12" spans="1:5" ht="15" customHeight="1" x14ac:dyDescent="0.25">
      <c r="A12" s="1"/>
      <c r="B12" s="64" t="s">
        <v>24</v>
      </c>
      <c r="C12" s="27">
        <f>-'Fane 4.2. Gen. krav - anlæg'!G53</f>
        <v>0</v>
      </c>
      <c r="D12" s="8" t="s">
        <v>3</v>
      </c>
      <c r="E12" s="1"/>
    </row>
    <row r="13" spans="1:5" x14ac:dyDescent="0.25">
      <c r="A13" s="1"/>
      <c r="B13" s="33" t="s">
        <v>19</v>
      </c>
      <c r="C13" s="10">
        <f>SUM(C8:C12)</f>
        <v>100233733.98111379</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Nøgletal'!C15)^2</f>
        <v>67010862.40523012</v>
      </c>
      <c r="D15" s="11" t="s">
        <v>3</v>
      </c>
      <c r="E15" s="1"/>
    </row>
    <row r="16" spans="1:5" x14ac:dyDescent="0.25">
      <c r="A16" s="1"/>
      <c r="B16" s="71" t="s">
        <v>128</v>
      </c>
      <c r="C16" s="72"/>
      <c r="D16" s="19"/>
      <c r="E16" s="1"/>
    </row>
    <row r="17" spans="1:5" x14ac:dyDescent="0.25">
      <c r="A17" s="1"/>
      <c r="B17" s="65" t="s">
        <v>129</v>
      </c>
      <c r="C17" s="10">
        <v>0</v>
      </c>
      <c r="D17" s="11" t="s">
        <v>3</v>
      </c>
      <c r="E17" s="1"/>
    </row>
    <row r="18" spans="1:5" ht="15" customHeight="1" x14ac:dyDescent="0.25">
      <c r="A18" s="1"/>
      <c r="B18" s="25" t="s">
        <v>153</v>
      </c>
      <c r="C18" s="72"/>
      <c r="D18" s="19"/>
      <c r="E18" s="1"/>
    </row>
    <row r="19" spans="1:5" ht="15" customHeight="1" x14ac:dyDescent="0.25">
      <c r="A19" s="1"/>
      <c r="B19" s="80" t="s">
        <v>154</v>
      </c>
      <c r="C19" s="10">
        <f>'Fane 8. Skattesagen'!G14</f>
        <v>0</v>
      </c>
      <c r="D19" s="11" t="s">
        <v>3</v>
      </c>
      <c r="E19" s="1"/>
    </row>
    <row r="20" spans="1:5" x14ac:dyDescent="0.25">
      <c r="A20" s="1"/>
      <c r="B20" s="71" t="s">
        <v>140</v>
      </c>
      <c r="C20" s="12">
        <f>SUM(C13,C15,C17,C19)</f>
        <v>167244596.3863439</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Pm5nyHEL3FCdSoY5T0WSh9eTmr7bE3JnpJmg3eOCYbiK0orx6QwOgsV7f1fJCfTJTJ6ZhgLKt714LnboAws4aQ==" saltValue="rDdmd5d05AjUBzzCxqHXp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0.5703125" style="2" customWidth="1"/>
    <col min="3" max="3" width="12.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8" t="s">
        <v>168</v>
      </c>
      <c r="C3" s="108"/>
      <c r="D3" s="108"/>
      <c r="E3" s="1"/>
    </row>
    <row r="4" spans="1:5" ht="15" customHeight="1" x14ac:dyDescent="0.25">
      <c r="A4" s="1"/>
      <c r="B4" s="108"/>
      <c r="C4" s="108"/>
      <c r="D4" s="108"/>
      <c r="E4" s="1"/>
    </row>
    <row r="5" spans="1:5" x14ac:dyDescent="0.25">
      <c r="A5" s="1"/>
      <c r="B5" s="109" t="s">
        <v>20</v>
      </c>
      <c r="C5" s="109"/>
      <c r="D5" s="109"/>
      <c r="E5" s="1"/>
    </row>
    <row r="6" spans="1:5" x14ac:dyDescent="0.25">
      <c r="A6" s="1"/>
      <c r="B6" s="1"/>
      <c r="C6" s="1"/>
      <c r="D6" s="1"/>
      <c r="E6" s="1"/>
    </row>
    <row r="7" spans="1:5" x14ac:dyDescent="0.25">
      <c r="A7" s="1"/>
      <c r="B7" s="71" t="s">
        <v>12</v>
      </c>
      <c r="C7" s="72"/>
      <c r="D7" s="19"/>
      <c r="E7" s="1"/>
    </row>
    <row r="8" spans="1:5" ht="15" customHeight="1" x14ac:dyDescent="0.25">
      <c r="A8" s="1"/>
      <c r="B8" s="68" t="s">
        <v>169</v>
      </c>
      <c r="C8" s="7">
        <f>'Fane 2.3. Økonomisk ramme 2025'!C13</f>
        <v>100233733.98111379</v>
      </c>
      <c r="D8" s="8" t="s">
        <v>3</v>
      </c>
      <c r="E8" s="1"/>
    </row>
    <row r="9" spans="1:5" ht="15" customHeight="1" x14ac:dyDescent="0.25">
      <c r="A9" s="1"/>
      <c r="B9" s="64" t="s">
        <v>17</v>
      </c>
      <c r="C9" s="9">
        <f>SUM(C8:C8)*'Fane 13. Nøgletal'!C15</f>
        <v>3568320.9297276512</v>
      </c>
      <c r="D9" s="8" t="s">
        <v>3</v>
      </c>
      <c r="E9" s="1"/>
    </row>
    <row r="10" spans="1:5" ht="15" customHeight="1" x14ac:dyDescent="0.25">
      <c r="A10" s="1"/>
      <c r="B10" s="64" t="s">
        <v>9</v>
      </c>
      <c r="C10" s="9">
        <f>-SUM(C8:C9)*'Fane 5. Individuelt eff. krav'!G9</f>
        <v>-2076041.0982168287</v>
      </c>
      <c r="D10" s="8" t="s">
        <v>3</v>
      </c>
      <c r="E10" s="1"/>
    </row>
    <row r="11" spans="1:5" ht="15" customHeight="1" x14ac:dyDescent="0.25">
      <c r="A11" s="1"/>
      <c r="B11" s="64" t="s">
        <v>23</v>
      </c>
      <c r="C11" s="9">
        <f>-'Fane 4.1. Gen. krav - drift'!G58</f>
        <v>-824460.86601652554</v>
      </c>
      <c r="D11" s="8" t="s">
        <v>3</v>
      </c>
      <c r="E11" s="1"/>
    </row>
    <row r="12" spans="1:5" ht="15" customHeight="1" x14ac:dyDescent="0.25">
      <c r="A12" s="1"/>
      <c r="B12" s="64" t="s">
        <v>24</v>
      </c>
      <c r="C12" s="9">
        <f>-'Fane 4.2. Gen. krav - anlæg'!G58</f>
        <v>0</v>
      </c>
      <c r="D12" s="8" t="s">
        <v>3</v>
      </c>
      <c r="E12" s="1"/>
    </row>
    <row r="13" spans="1:5" x14ac:dyDescent="0.25">
      <c r="A13" s="1"/>
      <c r="B13" s="33" t="s">
        <v>19</v>
      </c>
      <c r="C13" s="10">
        <f>SUM(C8:C12)</f>
        <v>100901552.94660808</v>
      </c>
      <c r="D13" s="11" t="s">
        <v>3</v>
      </c>
      <c r="E13" s="1"/>
    </row>
    <row r="14" spans="1:5" x14ac:dyDescent="0.25">
      <c r="A14" s="1"/>
      <c r="B14" s="71" t="s">
        <v>11</v>
      </c>
      <c r="C14" s="72"/>
      <c r="D14" s="19"/>
      <c r="E14" s="1"/>
    </row>
    <row r="15" spans="1:5" ht="15" customHeight="1" x14ac:dyDescent="0.25">
      <c r="A15" s="1"/>
      <c r="B15" s="65" t="s">
        <v>11</v>
      </c>
      <c r="C15" s="10">
        <f>'Fane 6. Ikke-påvirkelige omk.'!C18*(1+'Fane 13. Nøgletal'!C15)^3</f>
        <v>69396449.106856316</v>
      </c>
      <c r="D15" s="11" t="s">
        <v>3</v>
      </c>
      <c r="E15" s="1"/>
    </row>
    <row r="16" spans="1:5" x14ac:dyDescent="0.25">
      <c r="A16" s="1"/>
      <c r="B16" s="71" t="s">
        <v>128</v>
      </c>
      <c r="C16" s="72"/>
      <c r="D16" s="19"/>
      <c r="E16" s="1"/>
    </row>
    <row r="17" spans="1:5" x14ac:dyDescent="0.25">
      <c r="A17" s="1"/>
      <c r="B17" s="65" t="s">
        <v>129</v>
      </c>
      <c r="C17" s="10">
        <v>0</v>
      </c>
      <c r="D17" s="11" t="s">
        <v>3</v>
      </c>
      <c r="E17" s="1"/>
    </row>
    <row r="18" spans="1:5" x14ac:dyDescent="0.25">
      <c r="A18" s="1"/>
      <c r="B18" s="25" t="s">
        <v>153</v>
      </c>
      <c r="C18" s="72"/>
      <c r="D18" s="19"/>
      <c r="E18" s="1"/>
    </row>
    <row r="19" spans="1:5" x14ac:dyDescent="0.25">
      <c r="A19" s="1"/>
      <c r="B19" s="80" t="s">
        <v>154</v>
      </c>
      <c r="C19" s="10">
        <f>'Fane 8. Skattesagen'!G15</f>
        <v>0</v>
      </c>
      <c r="D19" s="11" t="s">
        <v>3</v>
      </c>
      <c r="E19" s="1"/>
    </row>
    <row r="20" spans="1:5" x14ac:dyDescent="0.25">
      <c r="A20" s="1"/>
      <c r="B20" s="71" t="s">
        <v>170</v>
      </c>
      <c r="C20" s="12">
        <f>SUM(C13,C15,C17,C19)</f>
        <v>170298002.05346441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Ekt0Su/+d8usmsy+2xbPnek5LMtFU+vnSxpkoJ6jTDJbMs5Gz95O/JH3yAxeUOc9ywkQdAZwNYhtaoH4GgeEQ==" saltValue="/EeUecJFsXrTsL0rN+Eag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0" t="s">
        <v>171</v>
      </c>
      <c r="C3" s="130"/>
      <c r="D3" s="130"/>
      <c r="E3" s="130"/>
      <c r="F3" s="130"/>
      <c r="G3" s="1"/>
    </row>
    <row r="4" spans="1:7" ht="29.25" customHeight="1" x14ac:dyDescent="0.25">
      <c r="A4" s="1"/>
      <c r="B4" s="130"/>
      <c r="C4" s="130"/>
      <c r="D4" s="130"/>
      <c r="E4" s="130"/>
      <c r="F4" s="13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1" t="s">
        <v>172</v>
      </c>
      <c r="C8" s="72"/>
      <c r="D8" s="72"/>
      <c r="E8" s="72"/>
      <c r="F8" s="19"/>
      <c r="G8" s="1"/>
    </row>
    <row r="9" spans="1:7" x14ac:dyDescent="0.25">
      <c r="A9" s="1"/>
      <c r="B9" s="131" t="s">
        <v>22</v>
      </c>
      <c r="C9" s="132"/>
      <c r="D9" s="133"/>
      <c r="E9" s="7">
        <v>100004348.37485185</v>
      </c>
      <c r="F9" s="8" t="s">
        <v>3</v>
      </c>
      <c r="G9" s="1"/>
    </row>
    <row r="10" spans="1:7" ht="15" customHeight="1" x14ac:dyDescent="0.25">
      <c r="A10" s="1"/>
      <c r="B10" s="113" t="s">
        <v>35</v>
      </c>
      <c r="C10" s="114"/>
      <c r="D10" s="115"/>
      <c r="E10" s="9">
        <v>314032.90000000002</v>
      </c>
      <c r="F10" s="8" t="s">
        <v>3</v>
      </c>
      <c r="G10" s="1"/>
    </row>
    <row r="11" spans="1:7" ht="15" customHeight="1" x14ac:dyDescent="0.25">
      <c r="A11" s="1"/>
      <c r="B11" s="113" t="s">
        <v>36</v>
      </c>
      <c r="C11" s="114"/>
      <c r="D11" s="115"/>
      <c r="E11" s="9">
        <v>122245.0819</v>
      </c>
      <c r="F11" s="8" t="s">
        <v>3</v>
      </c>
      <c r="G11" s="1"/>
    </row>
    <row r="12" spans="1:7" x14ac:dyDescent="0.25">
      <c r="A12" s="1"/>
      <c r="B12" s="113" t="s">
        <v>26</v>
      </c>
      <c r="C12" s="114"/>
      <c r="D12" s="115"/>
      <c r="E12" s="9">
        <v>0</v>
      </c>
      <c r="F12" s="8" t="s">
        <v>3</v>
      </c>
      <c r="G12" s="1"/>
    </row>
    <row r="13" spans="1:7" x14ac:dyDescent="0.25">
      <c r="A13" s="1"/>
      <c r="B13" s="113" t="s">
        <v>25</v>
      </c>
      <c r="C13" s="114"/>
      <c r="D13" s="115"/>
      <c r="E13" s="9">
        <v>0</v>
      </c>
      <c r="F13" s="8" t="s">
        <v>3</v>
      </c>
      <c r="G13" s="1"/>
    </row>
    <row r="14" spans="1:7" x14ac:dyDescent="0.25">
      <c r="A14" s="1"/>
      <c r="B14" s="113" t="s">
        <v>114</v>
      </c>
      <c r="C14" s="114"/>
      <c r="D14" s="115"/>
      <c r="E14" s="9">
        <v>0</v>
      </c>
      <c r="F14" s="8" t="s">
        <v>3</v>
      </c>
      <c r="G14" s="1"/>
    </row>
    <row r="15" spans="1:7" x14ac:dyDescent="0.25">
      <c r="A15" s="1"/>
      <c r="B15" s="113" t="s">
        <v>115</v>
      </c>
      <c r="C15" s="114"/>
      <c r="D15" s="115"/>
      <c r="E15" s="9">
        <v>0</v>
      </c>
      <c r="F15" s="8" t="s">
        <v>3</v>
      </c>
      <c r="G15" s="1"/>
    </row>
    <row r="16" spans="1:7" x14ac:dyDescent="0.25">
      <c r="A16" s="1"/>
      <c r="B16" s="113" t="s">
        <v>17</v>
      </c>
      <c r="C16" s="114"/>
      <c r="D16" s="115"/>
      <c r="E16" s="9">
        <v>1221492.7675134628</v>
      </c>
      <c r="F16" s="8" t="s">
        <v>3</v>
      </c>
      <c r="G16" s="30"/>
    </row>
    <row r="17" spans="1:7" x14ac:dyDescent="0.25">
      <c r="A17" s="1"/>
      <c r="B17" s="113" t="s">
        <v>9</v>
      </c>
      <c r="C17" s="114"/>
      <c r="D17" s="115"/>
      <c r="E17" s="9">
        <v>-1236059.7040733506</v>
      </c>
      <c r="F17" s="8" t="s">
        <v>3</v>
      </c>
      <c r="G17" s="1"/>
    </row>
    <row r="18" spans="1:7" x14ac:dyDescent="0.25">
      <c r="A18" s="1"/>
      <c r="B18" s="113" t="s">
        <v>23</v>
      </c>
      <c r="C18" s="114"/>
      <c r="D18" s="115"/>
      <c r="E18" s="9">
        <v>-770035.72472129297</v>
      </c>
      <c r="F18" s="8" t="s">
        <v>3</v>
      </c>
      <c r="G18" s="1"/>
    </row>
    <row r="19" spans="1:7" x14ac:dyDescent="0.25">
      <c r="A19" s="1"/>
      <c r="B19" s="113" t="s">
        <v>24</v>
      </c>
      <c r="C19" s="114"/>
      <c r="D19" s="115"/>
      <c r="E19" s="9">
        <v>-1925781.2693296296</v>
      </c>
      <c r="F19" s="8" t="s">
        <v>3</v>
      </c>
      <c r="G19" s="1"/>
    </row>
    <row r="20" spans="1:7" x14ac:dyDescent="0.25">
      <c r="A20" s="1"/>
      <c r="B20" s="116" t="s">
        <v>19</v>
      </c>
      <c r="C20" s="117"/>
      <c r="D20" s="118"/>
      <c r="E20" s="31">
        <f>SUM(E9:E19)</f>
        <v>97730242.426141053</v>
      </c>
      <c r="F20" s="34" t="s">
        <v>3</v>
      </c>
      <c r="G20" s="1"/>
    </row>
    <row r="21" spans="1:7" x14ac:dyDescent="0.25">
      <c r="A21" s="1"/>
      <c r="B21" s="71" t="s">
        <v>11</v>
      </c>
      <c r="C21" s="72"/>
      <c r="D21" s="72"/>
      <c r="E21" s="72"/>
      <c r="F21" s="19"/>
      <c r="G21" s="1"/>
    </row>
    <row r="22" spans="1:7" x14ac:dyDescent="0.25">
      <c r="A22" s="1"/>
      <c r="B22" s="124" t="s">
        <v>11</v>
      </c>
      <c r="C22" s="125"/>
      <c r="D22" s="126"/>
      <c r="E22" s="10">
        <v>55558956.958476759</v>
      </c>
      <c r="F22" s="11" t="s">
        <v>3</v>
      </c>
      <c r="G22" s="1"/>
    </row>
    <row r="23" spans="1:7" ht="15" customHeight="1" x14ac:dyDescent="0.25">
      <c r="A23" s="1"/>
      <c r="B23" s="122" t="s">
        <v>80</v>
      </c>
      <c r="C23" s="123"/>
      <c r="D23" s="123"/>
      <c r="E23" s="72"/>
      <c r="F23" s="72"/>
      <c r="G23" s="1"/>
    </row>
    <row r="24" spans="1:7" ht="14.25" customHeight="1" x14ac:dyDescent="0.25">
      <c r="A24" s="1"/>
      <c r="B24" s="110" t="s">
        <v>76</v>
      </c>
      <c r="C24" s="111"/>
      <c r="D24" s="112"/>
      <c r="E24" s="9">
        <v>0</v>
      </c>
      <c r="F24" s="8" t="s">
        <v>3</v>
      </c>
      <c r="G24" s="1"/>
    </row>
    <row r="25" spans="1:7" ht="14.25" customHeight="1" x14ac:dyDescent="0.25">
      <c r="A25" s="1"/>
      <c r="B25" s="110" t="s">
        <v>77</v>
      </c>
      <c r="C25" s="111"/>
      <c r="D25" s="112"/>
      <c r="E25" s="9">
        <v>0</v>
      </c>
      <c r="F25" s="8" t="s">
        <v>3</v>
      </c>
      <c r="G25" s="1"/>
    </row>
    <row r="26" spans="1:7" x14ac:dyDescent="0.25">
      <c r="A26" s="1"/>
      <c r="B26" s="119" t="s">
        <v>81</v>
      </c>
      <c r="C26" s="120"/>
      <c r="D26" s="120"/>
      <c r="E26" s="10">
        <v>0</v>
      </c>
      <c r="F26" s="11" t="s">
        <v>3</v>
      </c>
      <c r="G26" s="1"/>
    </row>
    <row r="27" spans="1:7" x14ac:dyDescent="0.25">
      <c r="A27" s="1"/>
      <c r="B27" s="71" t="s">
        <v>128</v>
      </c>
      <c r="C27" s="72"/>
      <c r="D27" s="72"/>
      <c r="E27" s="72"/>
      <c r="F27" s="19"/>
      <c r="G27" s="1"/>
    </row>
    <row r="28" spans="1:7" ht="15" customHeight="1" x14ac:dyDescent="0.25">
      <c r="A28" s="1"/>
      <c r="B28" s="119" t="s">
        <v>129</v>
      </c>
      <c r="C28" s="120"/>
      <c r="D28" s="121"/>
      <c r="E28" s="10">
        <v>0</v>
      </c>
      <c r="F28" s="11" t="s">
        <v>3</v>
      </c>
      <c r="G28" s="1"/>
    </row>
    <row r="29" spans="1:7" x14ac:dyDescent="0.25">
      <c r="A29" s="1"/>
      <c r="B29" s="71" t="s">
        <v>159</v>
      </c>
      <c r="C29" s="72"/>
      <c r="D29" s="72"/>
      <c r="E29" s="72"/>
      <c r="F29" s="19"/>
      <c r="G29" s="1"/>
    </row>
    <row r="30" spans="1:7" ht="15.6" customHeight="1" x14ac:dyDescent="0.25">
      <c r="A30" s="1"/>
      <c r="B30" s="124" t="s">
        <v>160</v>
      </c>
      <c r="C30" s="125"/>
      <c r="D30" s="126"/>
      <c r="E30" s="10">
        <v>0</v>
      </c>
      <c r="F30" s="11" t="s">
        <v>3</v>
      </c>
      <c r="G30" s="1"/>
    </row>
    <row r="31" spans="1:7" ht="15.6" customHeight="1" x14ac:dyDescent="0.25">
      <c r="A31" s="1"/>
      <c r="B31" s="127" t="s">
        <v>153</v>
      </c>
      <c r="C31" s="128"/>
      <c r="D31" s="128"/>
      <c r="E31" s="128"/>
      <c r="F31" s="129"/>
      <c r="G31" s="1"/>
    </row>
    <row r="32" spans="1:7" ht="15.6" customHeight="1" x14ac:dyDescent="0.25">
      <c r="A32" s="1"/>
      <c r="B32" s="80" t="s">
        <v>154</v>
      </c>
      <c r="C32" s="10"/>
      <c r="D32" s="11"/>
      <c r="E32" s="10">
        <f>'Fane 8. Skattesagen'!G11</f>
        <v>0</v>
      </c>
      <c r="F32" s="11" t="s">
        <v>3</v>
      </c>
      <c r="G32" s="1"/>
    </row>
    <row r="33" spans="1:7" x14ac:dyDescent="0.25">
      <c r="A33" s="1"/>
      <c r="B33" s="35" t="s">
        <v>27</v>
      </c>
      <c r="C33" s="38"/>
      <c r="D33" s="38"/>
      <c r="E33" s="32">
        <f>E20+E22+E26+E28+E30+E32</f>
        <v>153289199.38461781</v>
      </c>
      <c r="F33" s="37" t="s">
        <v>3</v>
      </c>
      <c r="G33" s="1"/>
    </row>
    <row r="34" spans="1:7" ht="27.75" customHeight="1" x14ac:dyDescent="0.25">
      <c r="A34" s="1"/>
      <c r="B34" s="110" t="s">
        <v>173</v>
      </c>
      <c r="C34" s="111"/>
      <c r="D34" s="111"/>
      <c r="E34" s="111"/>
      <c r="F34" s="11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jvv969OdQiNP/wHOdQjENaqq9TSMKkz6d6Wr5Ihe+9KXoOEXzAbDcvpPhenq5jnCntrOkan6ho6d61AWzkg2GQ==" saltValue="mm3Z6XiW/ngXTFI+ZEI+uA=="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2"/>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43" customWidth="1"/>
    <col min="8" max="8" width="4.42578125" style="2" customWidth="1"/>
    <col min="9" max="9" width="6.7109375" style="2" customWidth="1"/>
    <col min="10" max="16384" width="9.140625" style="2"/>
  </cols>
  <sheetData>
    <row r="1" spans="1:9" ht="15" customHeight="1" x14ac:dyDescent="0.25">
      <c r="A1" s="1"/>
      <c r="B1" s="130" t="s">
        <v>98</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0"/>
      <c r="C3" s="130"/>
      <c r="D3" s="130"/>
      <c r="E3" s="130"/>
      <c r="F3" s="130"/>
      <c r="G3" s="130"/>
      <c r="H3" s="130"/>
      <c r="I3" s="1"/>
    </row>
    <row r="4" spans="1:9" x14ac:dyDescent="0.25">
      <c r="A4" s="1"/>
      <c r="B4" s="127" t="s">
        <v>49</v>
      </c>
      <c r="C4" s="128"/>
      <c r="D4" s="128"/>
      <c r="E4" s="128"/>
      <c r="F4" s="128"/>
      <c r="G4" s="128"/>
      <c r="H4" s="129"/>
      <c r="I4" s="1"/>
    </row>
    <row r="5" spans="1:9" x14ac:dyDescent="0.25">
      <c r="A5" s="1"/>
      <c r="B5" s="134" t="s">
        <v>38</v>
      </c>
      <c r="C5" s="135"/>
      <c r="D5" s="135"/>
      <c r="E5" s="135"/>
      <c r="F5" s="136"/>
      <c r="G5" s="58">
        <v>35267608.025951229</v>
      </c>
      <c r="H5" s="14" t="s">
        <v>3</v>
      </c>
      <c r="I5" s="1"/>
    </row>
    <row r="6" spans="1:9" x14ac:dyDescent="0.25">
      <c r="A6" s="1"/>
      <c r="B6" s="134" t="s">
        <v>39</v>
      </c>
      <c r="C6" s="135"/>
      <c r="D6" s="135"/>
      <c r="E6" s="135"/>
      <c r="F6" s="136"/>
      <c r="G6" s="58">
        <f>G5*'Fane 13. Nøgletal'!C31</f>
        <v>705352.16051902459</v>
      </c>
      <c r="H6" s="14" t="s">
        <v>3</v>
      </c>
      <c r="I6" s="1"/>
    </row>
    <row r="7" spans="1:9" x14ac:dyDescent="0.25">
      <c r="A7" s="1"/>
      <c r="B7" s="71"/>
      <c r="C7" s="72"/>
      <c r="D7" s="72"/>
      <c r="E7" s="72"/>
      <c r="F7" s="72"/>
      <c r="G7" s="59"/>
      <c r="H7" s="19"/>
      <c r="I7" s="1"/>
    </row>
    <row r="8" spans="1:9" x14ac:dyDescent="0.25">
      <c r="A8" s="1"/>
      <c r="B8" s="1"/>
      <c r="C8" s="1"/>
      <c r="D8" s="1"/>
      <c r="E8" s="1"/>
      <c r="F8" s="1"/>
      <c r="G8" s="60"/>
      <c r="H8" s="1"/>
      <c r="I8" s="1"/>
    </row>
    <row r="9" spans="1:9" x14ac:dyDescent="0.25">
      <c r="A9" s="1"/>
      <c r="B9" s="127" t="s">
        <v>50</v>
      </c>
      <c r="C9" s="128"/>
      <c r="D9" s="128"/>
      <c r="E9" s="128"/>
      <c r="F9" s="128"/>
      <c r="G9" s="140"/>
      <c r="H9" s="129"/>
      <c r="I9" s="1"/>
    </row>
    <row r="10" spans="1:9" x14ac:dyDescent="0.25">
      <c r="A10" s="1"/>
      <c r="B10" s="134" t="s">
        <v>40</v>
      </c>
      <c r="C10" s="135"/>
      <c r="D10" s="135"/>
      <c r="E10" s="135"/>
      <c r="F10" s="136"/>
      <c r="G10" s="58">
        <f>(G5-G6)*(1+'Fane 13. Nøgletal'!C9)</f>
        <v>35001196.514923193</v>
      </c>
      <c r="H10" s="14" t="s">
        <v>3</v>
      </c>
      <c r="I10" s="1"/>
    </row>
    <row r="11" spans="1:9" x14ac:dyDescent="0.25">
      <c r="A11" s="1"/>
      <c r="B11" s="137" t="s">
        <v>41</v>
      </c>
      <c r="C11" s="138"/>
      <c r="D11" s="138"/>
      <c r="E11" s="138"/>
      <c r="F11" s="139"/>
      <c r="G11" s="58">
        <v>0</v>
      </c>
      <c r="H11" s="14" t="s">
        <v>3</v>
      </c>
      <c r="I11" s="1"/>
    </row>
    <row r="12" spans="1:9" x14ac:dyDescent="0.25">
      <c r="A12" s="1"/>
      <c r="B12" s="134" t="s">
        <v>42</v>
      </c>
      <c r="C12" s="135"/>
      <c r="D12" s="135"/>
      <c r="E12" s="135"/>
      <c r="F12" s="136"/>
      <c r="G12" s="58">
        <f>(G10+G11)*'Fane 13. Nøgletal'!C31</f>
        <v>700023.93029846391</v>
      </c>
      <c r="H12" s="14" t="s">
        <v>3</v>
      </c>
      <c r="I12" s="1"/>
    </row>
    <row r="13" spans="1:9" x14ac:dyDescent="0.25">
      <c r="A13" s="1"/>
      <c r="B13" s="71"/>
      <c r="C13" s="72"/>
      <c r="D13" s="72"/>
      <c r="E13" s="72"/>
      <c r="F13" s="72"/>
      <c r="G13" s="59"/>
      <c r="H13" s="19"/>
      <c r="I13" s="1"/>
    </row>
    <row r="14" spans="1:9" x14ac:dyDescent="0.25">
      <c r="A14" s="1"/>
      <c r="B14" s="1"/>
      <c r="C14" s="1"/>
      <c r="D14" s="1"/>
      <c r="E14" s="1"/>
      <c r="F14" s="1"/>
      <c r="G14" s="60"/>
      <c r="H14" s="1"/>
      <c r="I14" s="1"/>
    </row>
    <row r="15" spans="1:9" x14ac:dyDescent="0.25">
      <c r="A15" s="1"/>
      <c r="B15" s="127" t="s">
        <v>51</v>
      </c>
      <c r="C15" s="128"/>
      <c r="D15" s="128"/>
      <c r="E15" s="128"/>
      <c r="F15" s="128"/>
      <c r="G15" s="140"/>
      <c r="H15" s="129"/>
      <c r="I15" s="1"/>
    </row>
    <row r="16" spans="1:9" x14ac:dyDescent="0.25">
      <c r="A16" s="1"/>
      <c r="B16" s="134" t="s">
        <v>43</v>
      </c>
      <c r="C16" s="135"/>
      <c r="D16" s="135"/>
      <c r="E16" s="135"/>
      <c r="F16" s="136"/>
      <c r="G16" s="58">
        <f>(G10+G11-G12)*(1+'Fane 13. Nøgletal'!C11)</f>
        <v>34880862.401304886</v>
      </c>
      <c r="H16" s="14" t="s">
        <v>3</v>
      </c>
      <c r="I16" s="1"/>
    </row>
    <row r="17" spans="1:9" x14ac:dyDescent="0.25">
      <c r="A17" s="1"/>
      <c r="B17" s="134" t="s">
        <v>108</v>
      </c>
      <c r="C17" s="135"/>
      <c r="D17" s="135"/>
      <c r="E17" s="135"/>
      <c r="F17" s="136"/>
      <c r="G17" s="58">
        <v>95033.235520615752</v>
      </c>
      <c r="H17" s="14" t="s">
        <v>3</v>
      </c>
      <c r="I17" s="1"/>
    </row>
    <row r="18" spans="1:9" x14ac:dyDescent="0.25">
      <c r="A18" s="1"/>
      <c r="B18" s="137" t="s">
        <v>44</v>
      </c>
      <c r="C18" s="138"/>
      <c r="D18" s="138"/>
      <c r="E18" s="138"/>
      <c r="F18" s="139"/>
      <c r="G18" s="58">
        <v>3410104.116096999</v>
      </c>
      <c r="H18" s="14" t="s">
        <v>3</v>
      </c>
      <c r="I18" s="1"/>
    </row>
    <row r="19" spans="1:9" x14ac:dyDescent="0.25">
      <c r="A19" s="1"/>
      <c r="B19" s="134" t="s">
        <v>45</v>
      </c>
      <c r="C19" s="135"/>
      <c r="D19" s="135"/>
      <c r="E19" s="135"/>
      <c r="F19" s="136"/>
      <c r="G19" s="58">
        <f>SUM(G16:G18)*'Fane 13. Nøgletal'!C31</f>
        <v>767719.99505844992</v>
      </c>
      <c r="H19" s="14" t="s">
        <v>3</v>
      </c>
      <c r="I19" s="1"/>
    </row>
    <row r="20" spans="1:9" x14ac:dyDescent="0.25">
      <c r="A20" s="1"/>
      <c r="B20" s="71"/>
      <c r="C20" s="72"/>
      <c r="D20" s="72"/>
      <c r="E20" s="72"/>
      <c r="F20" s="72"/>
      <c r="G20" s="59"/>
      <c r="H20" s="19"/>
      <c r="I20" s="1"/>
    </row>
    <row r="21" spans="1:9" x14ac:dyDescent="0.25">
      <c r="A21" s="1"/>
      <c r="B21" s="1"/>
      <c r="C21" s="1"/>
      <c r="D21" s="1"/>
      <c r="E21" s="1"/>
      <c r="F21" s="1"/>
      <c r="G21" s="60"/>
      <c r="H21" s="1"/>
      <c r="I21" s="1"/>
    </row>
    <row r="22" spans="1:9" x14ac:dyDescent="0.25">
      <c r="A22" s="1"/>
      <c r="B22" s="127" t="s">
        <v>52</v>
      </c>
      <c r="C22" s="128"/>
      <c r="D22" s="128"/>
      <c r="E22" s="128"/>
      <c r="F22" s="128"/>
      <c r="G22" s="140"/>
      <c r="H22" s="129"/>
      <c r="I22" s="1"/>
    </row>
    <row r="23" spans="1:9" x14ac:dyDescent="0.25">
      <c r="A23" s="1"/>
      <c r="B23" s="134" t="s">
        <v>46</v>
      </c>
      <c r="C23" s="135"/>
      <c r="D23" s="135"/>
      <c r="E23" s="135"/>
      <c r="F23" s="136"/>
      <c r="G23" s="58">
        <f>(SUM(G16:G18)-G19)*(1+'Fane 13. Nøgletal'!C11)</f>
        <v>38254028.68577195</v>
      </c>
      <c r="H23" s="14" t="s">
        <v>3</v>
      </c>
      <c r="I23" s="1"/>
    </row>
    <row r="24" spans="1:9" x14ac:dyDescent="0.25">
      <c r="A24" s="1"/>
      <c r="B24" s="137" t="s">
        <v>47</v>
      </c>
      <c r="C24" s="138"/>
      <c r="D24" s="138"/>
      <c r="E24" s="138"/>
      <c r="F24" s="139"/>
      <c r="G24" s="58">
        <v>301479.27817887004</v>
      </c>
      <c r="H24" s="14" t="s">
        <v>3</v>
      </c>
      <c r="I24" s="1"/>
    </row>
    <row r="25" spans="1:9" x14ac:dyDescent="0.25">
      <c r="A25" s="1"/>
      <c r="B25" s="134" t="s">
        <v>48</v>
      </c>
      <c r="C25" s="135"/>
      <c r="D25" s="135"/>
      <c r="E25" s="135"/>
      <c r="F25" s="136"/>
      <c r="G25" s="58">
        <f>(G23+G24)*'Fane 13. Nøgletal'!C31</f>
        <v>771110.15927901643</v>
      </c>
      <c r="H25" s="14" t="s">
        <v>3</v>
      </c>
      <c r="I25" s="1"/>
    </row>
    <row r="26" spans="1:9" x14ac:dyDescent="0.25">
      <c r="A26" s="1"/>
      <c r="B26" s="71"/>
      <c r="C26" s="72"/>
      <c r="D26" s="72"/>
      <c r="E26" s="72"/>
      <c r="F26" s="72"/>
      <c r="G26" s="59"/>
      <c r="H26" s="19"/>
      <c r="I26" s="1"/>
    </row>
    <row r="27" spans="1:9" x14ac:dyDescent="0.25">
      <c r="A27" s="1"/>
      <c r="B27" s="1"/>
      <c r="C27" s="1"/>
      <c r="D27" s="1"/>
      <c r="E27" s="1"/>
      <c r="F27" s="1"/>
      <c r="G27" s="60"/>
      <c r="H27" s="1"/>
      <c r="I27" s="1"/>
    </row>
    <row r="28" spans="1:9" x14ac:dyDescent="0.25">
      <c r="A28" s="1"/>
      <c r="B28" s="127" t="s">
        <v>132</v>
      </c>
      <c r="C28" s="128"/>
      <c r="D28" s="128"/>
      <c r="E28" s="128"/>
      <c r="F28" s="128"/>
      <c r="G28" s="140"/>
      <c r="H28" s="129"/>
      <c r="I28" s="1"/>
    </row>
    <row r="29" spans="1:9" x14ac:dyDescent="0.25">
      <c r="A29" s="1"/>
      <c r="B29" s="134" t="s">
        <v>55</v>
      </c>
      <c r="C29" s="135"/>
      <c r="D29" s="135"/>
      <c r="E29" s="135"/>
      <c r="F29" s="136"/>
      <c r="G29" s="58">
        <f>(G23+G24-G25)*(1+'Fane 13. Nøgletal'!C13)</f>
        <v>38245367.457888797</v>
      </c>
      <c r="H29" s="14" t="s">
        <v>3</v>
      </c>
      <c r="I29" s="1"/>
    </row>
    <row r="30" spans="1:9" x14ac:dyDescent="0.25">
      <c r="A30" s="1"/>
      <c r="B30" s="134" t="s">
        <v>121</v>
      </c>
      <c r="C30" s="135"/>
      <c r="D30" s="135"/>
      <c r="E30" s="135"/>
      <c r="F30" s="136"/>
      <c r="G30" s="58">
        <v>251014.46580000001</v>
      </c>
      <c r="H30" s="14" t="s">
        <v>3</v>
      </c>
      <c r="I30" s="1"/>
    </row>
    <row r="31" spans="1:9" x14ac:dyDescent="0.25">
      <c r="A31" s="1"/>
      <c r="B31" s="134" t="s">
        <v>126</v>
      </c>
      <c r="C31" s="135"/>
      <c r="D31" s="135"/>
      <c r="E31" s="135"/>
      <c r="F31" s="136"/>
      <c r="G31" s="58">
        <f>(G29+G30)*'Fane 13. Nøgletal'!C31</f>
        <v>769927.63847377605</v>
      </c>
      <c r="H31" s="14" t="s">
        <v>3</v>
      </c>
      <c r="I31" s="1"/>
    </row>
    <row r="32" spans="1:9" x14ac:dyDescent="0.25">
      <c r="A32" s="1"/>
      <c r="B32" s="71"/>
      <c r="C32" s="72"/>
      <c r="D32" s="72"/>
      <c r="E32" s="72"/>
      <c r="F32" s="72"/>
      <c r="G32" s="59"/>
      <c r="H32" s="19"/>
      <c r="I32" s="1"/>
    </row>
    <row r="33" spans="1:9" x14ac:dyDescent="0.25">
      <c r="A33" s="1"/>
      <c r="B33" s="1"/>
      <c r="C33" s="1"/>
      <c r="D33" s="1"/>
      <c r="E33" s="1"/>
      <c r="F33" s="1"/>
      <c r="G33" s="60"/>
      <c r="H33" s="1"/>
      <c r="I33" s="1"/>
    </row>
    <row r="34" spans="1:9" x14ac:dyDescent="0.25">
      <c r="A34" s="1"/>
      <c r="B34" s="127" t="s">
        <v>133</v>
      </c>
      <c r="C34" s="128"/>
      <c r="D34" s="128"/>
      <c r="E34" s="128"/>
      <c r="F34" s="128"/>
      <c r="G34" s="140"/>
      <c r="H34" s="129"/>
      <c r="I34" s="1"/>
    </row>
    <row r="35" spans="1:9" x14ac:dyDescent="0.25">
      <c r="A35" s="1"/>
      <c r="B35" s="134" t="s">
        <v>74</v>
      </c>
      <c r="C35" s="135"/>
      <c r="D35" s="135"/>
      <c r="E35" s="135"/>
      <c r="F35" s="136"/>
      <c r="G35" s="58">
        <f>(G29+G30-G31)*(1+'Fane 13. Nøgletal'!C13)</f>
        <v>38186717.027494647</v>
      </c>
      <c r="H35" s="14" t="s">
        <v>3</v>
      </c>
      <c r="I35" s="1"/>
    </row>
    <row r="36" spans="1:9" x14ac:dyDescent="0.25">
      <c r="A36" s="1"/>
      <c r="B36" s="134" t="s">
        <v>152</v>
      </c>
      <c r="C36" s="135"/>
      <c r="D36" s="135"/>
      <c r="E36" s="135"/>
      <c r="F36" s="136"/>
      <c r="G36" s="58">
        <f>('Fane 3. Omkostninger i ØR2022'!E10+'Fane 3. Omkostninger i ØR2022'!E12+'Fane 3. Omkostninger i ØR2022'!E14)*(1+'Fane 13. Nøgletal'!C14)</f>
        <v>315069.20857000008</v>
      </c>
      <c r="H36" s="14" t="s">
        <v>3</v>
      </c>
      <c r="I36" s="1"/>
    </row>
    <row r="37" spans="1:9" x14ac:dyDescent="0.25">
      <c r="A37" s="1"/>
      <c r="B37" s="134" t="s">
        <v>134</v>
      </c>
      <c r="C37" s="135"/>
      <c r="D37" s="135"/>
      <c r="E37" s="135"/>
      <c r="F37" s="136"/>
      <c r="G37" s="58">
        <f>(G35+G36)*'Fane 13. Nøgletal'!C31</f>
        <v>770035.72472129297</v>
      </c>
      <c r="H37" s="14" t="s">
        <v>3</v>
      </c>
      <c r="I37" s="1"/>
    </row>
    <row r="38" spans="1:9" x14ac:dyDescent="0.25">
      <c r="A38" s="1"/>
      <c r="B38" s="71"/>
      <c r="C38" s="72"/>
      <c r="D38" s="72"/>
      <c r="E38" s="72"/>
      <c r="F38" s="72"/>
      <c r="G38" s="59"/>
      <c r="H38" s="19"/>
      <c r="I38" s="1"/>
    </row>
    <row r="39" spans="1:9" x14ac:dyDescent="0.25">
      <c r="A39" s="1"/>
      <c r="B39" s="1"/>
      <c r="C39" s="1"/>
      <c r="D39" s="1"/>
      <c r="E39" s="1"/>
      <c r="F39" s="1"/>
      <c r="G39" s="60"/>
      <c r="H39" s="1"/>
      <c r="I39" s="1"/>
    </row>
    <row r="40" spans="1:9" x14ac:dyDescent="0.25">
      <c r="A40" s="1"/>
      <c r="B40" s="127" t="s">
        <v>198</v>
      </c>
      <c r="C40" s="128"/>
      <c r="D40" s="128"/>
      <c r="E40" s="128"/>
      <c r="F40" s="128"/>
      <c r="G40" s="140"/>
      <c r="H40" s="129"/>
      <c r="I40" s="1"/>
    </row>
    <row r="41" spans="1:9" x14ac:dyDescent="0.25">
      <c r="A41" s="1"/>
      <c r="B41" s="134" t="s">
        <v>73</v>
      </c>
      <c r="C41" s="135"/>
      <c r="D41" s="135"/>
      <c r="E41" s="135"/>
      <c r="F41" s="136"/>
      <c r="G41" s="58">
        <f>(G35+G36-G37)*(1+'Fane 13. Nøgletal'!C15)</f>
        <v>39075000.829547189</v>
      </c>
      <c r="H41" s="14" t="s">
        <v>3</v>
      </c>
      <c r="I41" s="1"/>
    </row>
    <row r="42" spans="1:9" x14ac:dyDescent="0.25">
      <c r="A42" s="1"/>
      <c r="B42" s="134" t="s">
        <v>197</v>
      </c>
      <c r="C42" s="135"/>
      <c r="D42" s="135"/>
      <c r="E42" s="135"/>
      <c r="F42" s="136"/>
      <c r="G42" s="58">
        <f>('Fane 2.1. Økonomisk ramme 2023'!C9+'Fane 2.1. Økonomisk ramme 2023'!C11+'Fane 2.1. Økonomisk ramme 2023'!C13)*(1+'Fane 13. Nøgletal'!C15)</f>
        <v>360349.03296000004</v>
      </c>
      <c r="H42" s="14" t="s">
        <v>3</v>
      </c>
      <c r="I42" s="1"/>
    </row>
    <row r="43" spans="1:9" x14ac:dyDescent="0.25">
      <c r="A43" s="1"/>
      <c r="B43" s="134" t="s">
        <v>208</v>
      </c>
      <c r="C43" s="135"/>
      <c r="D43" s="135"/>
      <c r="E43" s="135"/>
      <c r="F43" s="136"/>
      <c r="G43" s="58">
        <f>(G41+G42)*'Fane 13. Nøgletal'!C31</f>
        <v>788706.99725014379</v>
      </c>
      <c r="H43" s="14" t="s">
        <v>3</v>
      </c>
      <c r="I43" s="1"/>
    </row>
    <row r="44" spans="1:9" x14ac:dyDescent="0.25">
      <c r="A44" s="1"/>
      <c r="B44" s="71"/>
      <c r="C44" s="72"/>
      <c r="D44" s="72"/>
      <c r="E44" s="72"/>
      <c r="F44" s="72"/>
      <c r="G44" s="59"/>
      <c r="H44" s="19"/>
      <c r="I44" s="1"/>
    </row>
    <row r="45" spans="1:9" x14ac:dyDescent="0.25">
      <c r="A45" s="1"/>
      <c r="B45" s="1"/>
      <c r="C45" s="1"/>
      <c r="D45" s="1"/>
      <c r="E45" s="1"/>
      <c r="F45" s="1"/>
      <c r="G45" s="60"/>
      <c r="H45" s="1"/>
      <c r="I45" s="1"/>
    </row>
    <row r="46" spans="1:9" x14ac:dyDescent="0.25">
      <c r="A46" s="1"/>
      <c r="B46" s="127" t="s">
        <v>199</v>
      </c>
      <c r="C46" s="128"/>
      <c r="D46" s="128"/>
      <c r="E46" s="128"/>
      <c r="F46" s="128"/>
      <c r="G46" s="140"/>
      <c r="H46" s="129"/>
      <c r="I46" s="1"/>
    </row>
    <row r="47" spans="1:9" x14ac:dyDescent="0.25">
      <c r="A47" s="1"/>
      <c r="B47" s="134" t="s">
        <v>122</v>
      </c>
      <c r="C47" s="135"/>
      <c r="D47" s="135"/>
      <c r="E47" s="135"/>
      <c r="F47" s="136"/>
      <c r="G47" s="58">
        <f>(G41+G42-G43)*(1+'Fane 13. Nøgletal'!C15)</f>
        <v>40022463.351260193</v>
      </c>
      <c r="H47" s="14" t="s">
        <v>3</v>
      </c>
      <c r="I47" s="1"/>
    </row>
    <row r="48" spans="1:9" x14ac:dyDescent="0.25">
      <c r="A48" s="1"/>
      <c r="B48" s="134" t="s">
        <v>209</v>
      </c>
      <c r="C48" s="135"/>
      <c r="D48" s="135"/>
      <c r="E48" s="135"/>
      <c r="F48" s="136"/>
      <c r="G48" s="58">
        <f>(G47)*'Fane 13. Nøgletal'!C31</f>
        <v>800449.26702520391</v>
      </c>
      <c r="H48" s="14" t="s">
        <v>3</v>
      </c>
      <c r="I48" s="1"/>
    </row>
    <row r="49" spans="1:9" x14ac:dyDescent="0.25">
      <c r="A49" s="1"/>
      <c r="B49" s="71"/>
      <c r="C49" s="72"/>
      <c r="D49" s="72"/>
      <c r="E49" s="72"/>
      <c r="F49" s="72"/>
      <c r="G49" s="59"/>
      <c r="H49" s="19"/>
      <c r="I49" s="1"/>
    </row>
    <row r="50" spans="1:9" x14ac:dyDescent="0.25">
      <c r="A50" s="1"/>
      <c r="B50" s="1"/>
      <c r="C50" s="1"/>
      <c r="D50" s="1"/>
      <c r="E50" s="1"/>
      <c r="F50" s="1"/>
      <c r="G50" s="60"/>
      <c r="H50" s="1"/>
      <c r="I50" s="1"/>
    </row>
    <row r="51" spans="1:9" x14ac:dyDescent="0.25">
      <c r="A51" s="1"/>
      <c r="B51" s="127" t="s">
        <v>145</v>
      </c>
      <c r="C51" s="128"/>
      <c r="D51" s="128"/>
      <c r="E51" s="128"/>
      <c r="F51" s="128"/>
      <c r="G51" s="140"/>
      <c r="H51" s="129"/>
      <c r="I51" s="1"/>
    </row>
    <row r="52" spans="1:9" x14ac:dyDescent="0.25">
      <c r="A52" s="1"/>
      <c r="B52" s="134" t="s">
        <v>146</v>
      </c>
      <c r="C52" s="135"/>
      <c r="D52" s="135"/>
      <c r="E52" s="135"/>
      <c r="F52" s="136"/>
      <c r="G52" s="58">
        <f>(G47-G48)*(1+'Fane 13. Nøgletal'!C15)</f>
        <v>40618317.785633758</v>
      </c>
      <c r="H52" s="14" t="s">
        <v>3</v>
      </c>
      <c r="I52" s="1"/>
    </row>
    <row r="53" spans="1:9" x14ac:dyDescent="0.25">
      <c r="A53" s="1"/>
      <c r="B53" s="134" t="s">
        <v>147</v>
      </c>
      <c r="C53" s="135"/>
      <c r="D53" s="135"/>
      <c r="E53" s="135"/>
      <c r="F53" s="136"/>
      <c r="G53" s="58">
        <f>(G52)*'Fane 13. Nøgletal'!C31</f>
        <v>812366.35571267514</v>
      </c>
      <c r="H53" s="14" t="s">
        <v>3</v>
      </c>
      <c r="I53" s="1"/>
    </row>
    <row r="54" spans="1:9" x14ac:dyDescent="0.25">
      <c r="A54" s="1"/>
      <c r="B54" s="71"/>
      <c r="C54" s="72"/>
      <c r="D54" s="72"/>
      <c r="E54" s="72"/>
      <c r="F54" s="72"/>
      <c r="G54" s="59"/>
      <c r="H54" s="19"/>
      <c r="I54" s="1"/>
    </row>
    <row r="55" spans="1:9" x14ac:dyDescent="0.25">
      <c r="A55" s="1"/>
      <c r="B55" s="1"/>
      <c r="C55" s="1"/>
      <c r="D55" s="1"/>
      <c r="E55" s="1"/>
      <c r="F55" s="1"/>
      <c r="G55" s="60"/>
      <c r="H55" s="1"/>
      <c r="I55" s="1"/>
    </row>
    <row r="56" spans="1:9" x14ac:dyDescent="0.25">
      <c r="A56" s="1"/>
      <c r="B56" s="127" t="s">
        <v>174</v>
      </c>
      <c r="C56" s="128"/>
      <c r="D56" s="128"/>
      <c r="E56" s="128"/>
      <c r="F56" s="128"/>
      <c r="G56" s="140"/>
      <c r="H56" s="129"/>
      <c r="I56" s="1"/>
    </row>
    <row r="57" spans="1:9" x14ac:dyDescent="0.25">
      <c r="A57" s="1"/>
      <c r="B57" s="134" t="s">
        <v>175</v>
      </c>
      <c r="C57" s="135"/>
      <c r="D57" s="135"/>
      <c r="E57" s="135"/>
      <c r="F57" s="136"/>
      <c r="G57" s="58">
        <f>(G52-G53)*(1+'Fane 13. Nøgletal'!C15)</f>
        <v>41223043.300826274</v>
      </c>
      <c r="H57" s="14" t="s">
        <v>3</v>
      </c>
      <c r="I57" s="1"/>
    </row>
    <row r="58" spans="1:9" x14ac:dyDescent="0.25">
      <c r="A58" s="1"/>
      <c r="B58" s="134" t="s">
        <v>176</v>
      </c>
      <c r="C58" s="135"/>
      <c r="D58" s="135"/>
      <c r="E58" s="135"/>
      <c r="F58" s="136"/>
      <c r="G58" s="58">
        <f>(G57)*'Fane 13. Nøgletal'!C31</f>
        <v>824460.86601652554</v>
      </c>
      <c r="H58" s="14" t="s">
        <v>3</v>
      </c>
      <c r="I58" s="1"/>
    </row>
    <row r="59" spans="1:9" x14ac:dyDescent="0.25">
      <c r="A59" s="1"/>
      <c r="B59" s="71"/>
      <c r="C59" s="72"/>
      <c r="D59" s="72"/>
      <c r="E59" s="72"/>
      <c r="F59" s="72"/>
      <c r="G59" s="41"/>
      <c r="H59" s="19"/>
      <c r="I59" s="1"/>
    </row>
    <row r="60" spans="1:9" x14ac:dyDescent="0.25">
      <c r="A60" s="1"/>
      <c r="B60" s="1"/>
      <c r="C60" s="1"/>
      <c r="D60" s="1"/>
      <c r="E60" s="1"/>
      <c r="F60" s="1"/>
      <c r="G60" s="42"/>
      <c r="H60" s="1"/>
      <c r="I60" s="1"/>
    </row>
    <row r="61" spans="1:9" x14ac:dyDescent="0.25">
      <c r="A61" s="1"/>
      <c r="B61" s="1"/>
      <c r="C61" s="1"/>
      <c r="D61" s="1"/>
      <c r="E61" s="1"/>
      <c r="F61" s="1"/>
      <c r="G61" s="42"/>
      <c r="H61" s="1"/>
      <c r="I61" s="1"/>
    </row>
    <row r="62" spans="1:9" x14ac:dyDescent="0.25">
      <c r="A62" s="1"/>
      <c r="B62" s="1"/>
      <c r="C62" s="1"/>
      <c r="D62" s="1"/>
      <c r="E62" s="1"/>
      <c r="F62" s="1"/>
      <c r="G62" s="42"/>
      <c r="H62" s="1"/>
      <c r="I62" s="1"/>
    </row>
  </sheetData>
  <sheetProtection algorithmName="SHA-512" hashValue="baDFEBNx+7HxRPkyWKoZliJMYNQXdikrib2JtNdq+IW60MhWdkoU02ZLhOxHtHV4tEeQ6vDq+PxUaAsgEFJsZQ==" saltValue="87QNsc/5hCB+mQSjMySpm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2"/>
  <sheetViews>
    <sheetView showGridLines="0" view="pageLayout" zoomScaleNormal="120" workbookViewId="0"/>
  </sheetViews>
  <sheetFormatPr defaultColWidth="9.140625" defaultRowHeight="15" x14ac:dyDescent="0.25"/>
  <cols>
    <col min="1" max="1" width="6.28515625" style="2" customWidth="1"/>
    <col min="2" max="5" width="9.140625" style="2"/>
    <col min="6" max="6" width="18" style="2" customWidth="1"/>
    <col min="7" max="7" width="10.28515625" style="2" customWidth="1"/>
    <col min="8" max="8" width="9.7109375" style="2" customWidth="1"/>
    <col min="9" max="9" width="6" style="2" customWidth="1"/>
    <col min="10" max="16384" width="9.140625" style="2"/>
  </cols>
  <sheetData>
    <row r="1" spans="1:9" x14ac:dyDescent="0.25">
      <c r="A1" s="1"/>
      <c r="B1" s="141" t="s">
        <v>99</v>
      </c>
      <c r="C1" s="142"/>
      <c r="D1" s="142"/>
      <c r="E1" s="142"/>
      <c r="F1" s="142"/>
      <c r="G1" s="142"/>
      <c r="H1" s="142"/>
      <c r="I1" s="1"/>
    </row>
    <row r="2" spans="1:9" ht="19.899999999999999" customHeight="1" x14ac:dyDescent="0.25">
      <c r="A2" s="1"/>
      <c r="B2" s="142"/>
      <c r="C2" s="142"/>
      <c r="D2" s="142"/>
      <c r="E2" s="142"/>
      <c r="F2" s="142"/>
      <c r="G2" s="142"/>
      <c r="H2" s="142"/>
      <c r="I2" s="1"/>
    </row>
    <row r="3" spans="1:9" ht="15" customHeight="1" x14ac:dyDescent="0.25">
      <c r="A3" s="1"/>
      <c r="B3" s="143"/>
      <c r="C3" s="143"/>
      <c r="D3" s="143"/>
      <c r="E3" s="143"/>
      <c r="F3" s="143"/>
      <c r="G3" s="143"/>
      <c r="H3" s="143"/>
      <c r="I3" s="1"/>
    </row>
    <row r="4" spans="1:9" x14ac:dyDescent="0.25">
      <c r="A4" s="1"/>
      <c r="B4" s="127" t="s">
        <v>53</v>
      </c>
      <c r="C4" s="128"/>
      <c r="D4" s="128"/>
      <c r="E4" s="128"/>
      <c r="F4" s="128"/>
      <c r="G4" s="128"/>
      <c r="H4" s="129"/>
      <c r="I4" s="1"/>
    </row>
    <row r="5" spans="1:9" x14ac:dyDescent="0.25">
      <c r="A5" s="1"/>
      <c r="B5" s="134" t="s">
        <v>56</v>
      </c>
      <c r="C5" s="135"/>
      <c r="D5" s="135"/>
      <c r="E5" s="135"/>
      <c r="F5" s="136"/>
      <c r="G5" s="58">
        <v>62380457.62591286</v>
      </c>
      <c r="H5" s="14" t="s">
        <v>3</v>
      </c>
      <c r="I5" s="1"/>
    </row>
    <row r="6" spans="1:9" x14ac:dyDescent="0.25">
      <c r="A6" s="1"/>
      <c r="B6" s="134" t="s">
        <v>54</v>
      </c>
      <c r="C6" s="135"/>
      <c r="D6" s="135"/>
      <c r="E6" s="135"/>
      <c r="F6" s="136"/>
      <c r="G6" s="58">
        <f>G5*'Fane 13. Nøgletal'!C20</f>
        <v>567662.16439580708</v>
      </c>
      <c r="H6" s="14" t="s">
        <v>3</v>
      </c>
      <c r="I6" s="1"/>
    </row>
    <row r="7" spans="1:9" x14ac:dyDescent="0.25">
      <c r="A7" s="1"/>
      <c r="B7" s="71"/>
      <c r="C7" s="72"/>
      <c r="D7" s="72"/>
      <c r="E7" s="72"/>
      <c r="F7" s="72"/>
      <c r="G7" s="61"/>
      <c r="H7" s="19"/>
      <c r="I7" s="1"/>
    </row>
    <row r="8" spans="1:9" x14ac:dyDescent="0.25">
      <c r="A8" s="1"/>
      <c r="B8" s="1"/>
      <c r="C8" s="1"/>
      <c r="D8" s="1"/>
      <c r="E8" s="1"/>
      <c r="F8" s="1"/>
      <c r="G8" s="62"/>
      <c r="H8" s="1"/>
      <c r="I8" s="1"/>
    </row>
    <row r="9" spans="1:9" x14ac:dyDescent="0.25">
      <c r="A9" s="1"/>
      <c r="B9" s="127" t="s">
        <v>57</v>
      </c>
      <c r="C9" s="128"/>
      <c r="D9" s="128"/>
      <c r="E9" s="128"/>
      <c r="F9" s="128"/>
      <c r="G9" s="140"/>
      <c r="H9" s="129"/>
      <c r="I9" s="1"/>
    </row>
    <row r="10" spans="1:9" x14ac:dyDescent="0.25">
      <c r="A10" s="1"/>
      <c r="B10" s="134" t="s">
        <v>58</v>
      </c>
      <c r="C10" s="135"/>
      <c r="D10" s="135"/>
      <c r="E10" s="135"/>
      <c r="F10" s="136"/>
      <c r="G10" s="58">
        <f>(G5-G6)*(1+'Fane 13. Nøgletal'!C9)</f>
        <v>62597817.963878311</v>
      </c>
      <c r="H10" s="14" t="s">
        <v>3</v>
      </c>
      <c r="I10" s="1"/>
    </row>
    <row r="11" spans="1:9" x14ac:dyDescent="0.25">
      <c r="A11" s="1"/>
      <c r="B11" s="137" t="s">
        <v>59</v>
      </c>
      <c r="C11" s="138"/>
      <c r="D11" s="138"/>
      <c r="E11" s="138"/>
      <c r="F11" s="139"/>
      <c r="G11" s="63">
        <v>0</v>
      </c>
      <c r="H11" s="14" t="s">
        <v>3</v>
      </c>
      <c r="I11" s="1"/>
    </row>
    <row r="12" spans="1:9" x14ac:dyDescent="0.25">
      <c r="A12" s="1"/>
      <c r="B12" s="134" t="s">
        <v>60</v>
      </c>
      <c r="C12" s="135"/>
      <c r="D12" s="135"/>
      <c r="E12" s="135"/>
      <c r="F12" s="136"/>
      <c r="G12" s="58">
        <f>G10*'Fane 13. Nøgletal'!C20+G11*'Fane 13. Nøgletal'!C21</f>
        <v>569640.14347129269</v>
      </c>
      <c r="H12" s="14" t="s">
        <v>3</v>
      </c>
      <c r="I12" s="1"/>
    </row>
    <row r="13" spans="1:9" x14ac:dyDescent="0.25">
      <c r="A13" s="1"/>
      <c r="B13" s="71"/>
      <c r="C13" s="72"/>
      <c r="D13" s="72"/>
      <c r="E13" s="72"/>
      <c r="F13" s="72"/>
      <c r="G13" s="61"/>
      <c r="H13" s="19"/>
      <c r="I13" s="1"/>
    </row>
    <row r="14" spans="1:9" x14ac:dyDescent="0.25">
      <c r="A14" s="1"/>
      <c r="B14" s="1"/>
      <c r="C14" s="1"/>
      <c r="D14" s="1"/>
      <c r="E14" s="1"/>
      <c r="F14" s="1"/>
      <c r="G14" s="62"/>
      <c r="H14" s="1"/>
      <c r="I14" s="1"/>
    </row>
    <row r="15" spans="1:9" x14ac:dyDescent="0.25">
      <c r="A15" s="1"/>
      <c r="B15" s="127" t="s">
        <v>61</v>
      </c>
      <c r="C15" s="128"/>
      <c r="D15" s="128"/>
      <c r="E15" s="128"/>
      <c r="F15" s="128"/>
      <c r="G15" s="140"/>
      <c r="H15" s="129"/>
      <c r="I15" s="1"/>
    </row>
    <row r="16" spans="1:9" x14ac:dyDescent="0.25">
      <c r="A16" s="1"/>
      <c r="B16" s="134" t="s">
        <v>62</v>
      </c>
      <c r="C16" s="135"/>
      <c r="D16" s="135"/>
      <c r="E16" s="135"/>
      <c r="F16" s="136"/>
      <c r="G16" s="58">
        <f>(G10+G11-G12)*(1+'Fane 13. Nøgletal'!C11)</f>
        <v>63076454.02557189</v>
      </c>
      <c r="H16" s="14" t="s">
        <v>3</v>
      </c>
      <c r="I16" s="1"/>
    </row>
    <row r="17" spans="1:9" x14ac:dyDescent="0.25">
      <c r="A17" s="1"/>
      <c r="B17" s="134" t="s">
        <v>109</v>
      </c>
      <c r="C17" s="135"/>
      <c r="D17" s="135"/>
      <c r="E17" s="135"/>
      <c r="F17" s="136"/>
      <c r="G17" s="58">
        <v>-1269571.6226364074</v>
      </c>
      <c r="H17" s="14" t="s">
        <v>3</v>
      </c>
      <c r="I17" s="1"/>
    </row>
    <row r="18" spans="1:9" x14ac:dyDescent="0.25">
      <c r="A18" s="1"/>
      <c r="B18" s="137" t="s">
        <v>63</v>
      </c>
      <c r="C18" s="138"/>
      <c r="D18" s="138"/>
      <c r="E18" s="138"/>
      <c r="F18" s="139"/>
      <c r="G18" s="58">
        <v>5058784.0312019587</v>
      </c>
      <c r="H18" s="14" t="s">
        <v>3</v>
      </c>
      <c r="I18" s="1"/>
    </row>
    <row r="19" spans="1:9" x14ac:dyDescent="0.25">
      <c r="A19" s="1"/>
      <c r="B19" s="134" t="s">
        <v>64</v>
      </c>
      <c r="C19" s="135"/>
      <c r="D19" s="135"/>
      <c r="E19" s="135"/>
      <c r="F19" s="136"/>
      <c r="G19" s="58">
        <f>(G16+G17+G18)*'Fane 13. Nøgletal'!C22</f>
        <v>581731.2979769957</v>
      </c>
      <c r="H19" s="14" t="s">
        <v>3</v>
      </c>
      <c r="I19" s="1"/>
    </row>
    <row r="20" spans="1:9" x14ac:dyDescent="0.25">
      <c r="A20" s="1"/>
      <c r="B20" s="71"/>
      <c r="C20" s="72"/>
      <c r="D20" s="72"/>
      <c r="E20" s="72"/>
      <c r="F20" s="72"/>
      <c r="G20" s="61"/>
      <c r="H20" s="19"/>
      <c r="I20" s="1"/>
    </row>
    <row r="21" spans="1:9" x14ac:dyDescent="0.25">
      <c r="A21" s="1"/>
      <c r="B21" s="1"/>
      <c r="C21" s="1"/>
      <c r="D21" s="1"/>
      <c r="E21" s="1"/>
      <c r="F21" s="1"/>
      <c r="G21" s="62"/>
      <c r="H21" s="1"/>
      <c r="I21" s="1"/>
    </row>
    <row r="22" spans="1:9" x14ac:dyDescent="0.25">
      <c r="A22" s="1"/>
      <c r="B22" s="127" t="s">
        <v>65</v>
      </c>
      <c r="C22" s="128"/>
      <c r="D22" s="128"/>
      <c r="E22" s="128"/>
      <c r="F22" s="128"/>
      <c r="G22" s="140"/>
      <c r="H22" s="129"/>
      <c r="I22" s="1"/>
    </row>
    <row r="23" spans="1:9" x14ac:dyDescent="0.25">
      <c r="A23" s="1"/>
      <c r="B23" s="134" t="s">
        <v>66</v>
      </c>
      <c r="C23" s="135"/>
      <c r="D23" s="135"/>
      <c r="E23" s="135"/>
      <c r="F23" s="136"/>
      <c r="G23" s="58">
        <f>(SUM(G16:G18)-G19)*(1+'Fane 13. Nøgletal'!C11)</f>
        <v>67404133.639961556</v>
      </c>
      <c r="H23" s="14" t="s">
        <v>3</v>
      </c>
      <c r="I23" s="1"/>
    </row>
    <row r="24" spans="1:9" x14ac:dyDescent="0.25">
      <c r="A24" s="1"/>
      <c r="B24" s="137" t="s">
        <v>67</v>
      </c>
      <c r="C24" s="138"/>
      <c r="D24" s="138"/>
      <c r="E24" s="138"/>
      <c r="F24" s="139"/>
      <c r="G24" s="58">
        <v>1987306.0570124218</v>
      </c>
      <c r="H24" s="14" t="s">
        <v>3</v>
      </c>
      <c r="I24" s="1"/>
    </row>
    <row r="25" spans="1:9" x14ac:dyDescent="0.25">
      <c r="A25" s="1"/>
      <c r="B25" s="134" t="s">
        <v>68</v>
      </c>
      <c r="C25" s="135"/>
      <c r="D25" s="135"/>
      <c r="E25" s="135"/>
      <c r="F25" s="136"/>
      <c r="G25" s="58">
        <f>G23*'Fane 13. Nøgletal'!C22+G24*'Fane 13. Nøgletal'!C23</f>
        <v>642855.45468681818</v>
      </c>
      <c r="H25" s="14" t="s">
        <v>3</v>
      </c>
      <c r="I25" s="1"/>
    </row>
    <row r="26" spans="1:9" x14ac:dyDescent="0.25">
      <c r="A26" s="1"/>
      <c r="B26" s="71"/>
      <c r="C26" s="72"/>
      <c r="D26" s="72"/>
      <c r="E26" s="72"/>
      <c r="F26" s="72"/>
      <c r="G26" s="61"/>
      <c r="H26" s="19"/>
      <c r="I26" s="1"/>
    </row>
    <row r="27" spans="1:9" x14ac:dyDescent="0.25">
      <c r="A27" s="1"/>
      <c r="B27" s="1"/>
      <c r="C27" s="1"/>
      <c r="D27" s="1"/>
      <c r="E27" s="1"/>
      <c r="F27" s="1"/>
      <c r="G27" s="62"/>
      <c r="H27" s="1"/>
      <c r="I27" s="1"/>
    </row>
    <row r="28" spans="1:9" x14ac:dyDescent="0.25">
      <c r="A28" s="1"/>
      <c r="B28" s="127" t="s">
        <v>130</v>
      </c>
      <c r="C28" s="128"/>
      <c r="D28" s="128"/>
      <c r="E28" s="128"/>
      <c r="F28" s="128"/>
      <c r="G28" s="140"/>
      <c r="H28" s="129"/>
      <c r="I28" s="1"/>
    </row>
    <row r="29" spans="1:9" x14ac:dyDescent="0.25">
      <c r="A29" s="1"/>
      <c r="B29" s="134" t="s">
        <v>69</v>
      </c>
      <c r="C29" s="135"/>
      <c r="D29" s="135"/>
      <c r="E29" s="135"/>
      <c r="F29" s="136"/>
      <c r="G29" s="58">
        <f>(G23+G24-G25)*(1+'Fane 13. Nøgletal'!C13)</f>
        <v>69587316.970043063</v>
      </c>
      <c r="H29" s="14" t="s">
        <v>3</v>
      </c>
      <c r="I29" s="1"/>
    </row>
    <row r="30" spans="1:9" x14ac:dyDescent="0.25">
      <c r="A30" s="1"/>
      <c r="B30" s="134" t="s">
        <v>123</v>
      </c>
      <c r="C30" s="135"/>
      <c r="D30" s="135"/>
      <c r="E30" s="135"/>
      <c r="F30" s="136"/>
      <c r="G30" s="58">
        <v>1486358.0823369599</v>
      </c>
      <c r="H30" s="14" t="s">
        <v>3</v>
      </c>
      <c r="I30" s="1"/>
    </row>
    <row r="31" spans="1:9" x14ac:dyDescent="0.25">
      <c r="A31" s="1"/>
      <c r="B31" s="134" t="s">
        <v>131</v>
      </c>
      <c r="C31" s="135"/>
      <c r="D31" s="135"/>
      <c r="E31" s="135"/>
      <c r="F31" s="136"/>
      <c r="G31" s="58">
        <f>(G29+G30)*'Fane 13. Nøgletal'!C24</f>
        <v>1954526.0639404508</v>
      </c>
      <c r="H31" s="14" t="s">
        <v>3</v>
      </c>
      <c r="I31" s="1"/>
    </row>
    <row r="32" spans="1:9" x14ac:dyDescent="0.25">
      <c r="A32" s="1"/>
      <c r="B32" s="71"/>
      <c r="C32" s="72"/>
      <c r="D32" s="72"/>
      <c r="E32" s="72"/>
      <c r="F32" s="72"/>
      <c r="G32" s="61"/>
      <c r="H32" s="19"/>
      <c r="I32" s="1"/>
    </row>
    <row r="33" spans="1:9" x14ac:dyDescent="0.25">
      <c r="A33" s="1"/>
      <c r="B33" s="1"/>
      <c r="C33" s="1"/>
      <c r="D33" s="1"/>
      <c r="E33" s="1"/>
      <c r="F33" s="1"/>
      <c r="G33" s="62"/>
      <c r="H33" s="1"/>
      <c r="I33" s="1"/>
    </row>
    <row r="34" spans="1:9" x14ac:dyDescent="0.25">
      <c r="A34" s="1"/>
      <c r="B34" s="127" t="s">
        <v>135</v>
      </c>
      <c r="C34" s="128"/>
      <c r="D34" s="128"/>
      <c r="E34" s="128"/>
      <c r="F34" s="128"/>
      <c r="G34" s="140"/>
      <c r="H34" s="129"/>
      <c r="I34" s="1"/>
    </row>
    <row r="35" spans="1:9" x14ac:dyDescent="0.25">
      <c r="A35" s="1"/>
      <c r="B35" s="134" t="s">
        <v>72</v>
      </c>
      <c r="C35" s="135"/>
      <c r="D35" s="135"/>
      <c r="E35" s="135"/>
      <c r="F35" s="136"/>
      <c r="G35" s="58">
        <f>(G29+G30-G31)*(1+'Fane 13. Nøgletal'!C13)</f>
        <v>69962402.606098533</v>
      </c>
      <c r="H35" s="14" t="s">
        <v>3</v>
      </c>
      <c r="I35" s="1"/>
    </row>
    <row r="36" spans="1:9" x14ac:dyDescent="0.25">
      <c r="A36" s="1"/>
      <c r="B36" s="134" t="s">
        <v>141</v>
      </c>
      <c r="C36" s="135"/>
      <c r="D36" s="135"/>
      <c r="E36" s="135"/>
      <c r="F36" s="136"/>
      <c r="G36" s="58">
        <f>SUM('Fane 3. Omkostninger i ØR2022'!E11)*(1+'Fane 13. Nøgletal'!C14)</f>
        <v>122648.49067027001</v>
      </c>
      <c r="H36" s="14" t="s">
        <v>3</v>
      </c>
      <c r="I36" s="1"/>
    </row>
    <row r="37" spans="1:9" x14ac:dyDescent="0.25">
      <c r="A37" s="1"/>
      <c r="B37" s="134" t="s">
        <v>136</v>
      </c>
      <c r="C37" s="135"/>
      <c r="D37" s="135"/>
      <c r="E37" s="135"/>
      <c r="F37" s="136"/>
      <c r="G37" s="58">
        <f>G35*'Fane 13. Nøgletal'!C24+G36*'Fane 13. Nøgletal'!C25</f>
        <v>1925781.2693296296</v>
      </c>
      <c r="H37" s="14" t="s">
        <v>3</v>
      </c>
      <c r="I37" s="1"/>
    </row>
    <row r="38" spans="1:9" x14ac:dyDescent="0.25">
      <c r="A38" s="1"/>
      <c r="B38" s="71"/>
      <c r="C38" s="72"/>
      <c r="D38" s="72"/>
      <c r="E38" s="72"/>
      <c r="F38" s="72"/>
      <c r="G38" s="61"/>
      <c r="H38" s="19"/>
      <c r="I38" s="1"/>
    </row>
    <row r="39" spans="1:9" x14ac:dyDescent="0.25">
      <c r="A39" s="1"/>
      <c r="B39" s="1"/>
      <c r="C39" s="1"/>
      <c r="D39" s="1"/>
      <c r="E39" s="1"/>
      <c r="F39" s="1"/>
      <c r="G39" s="62"/>
      <c r="H39" s="1"/>
      <c r="I39" s="1"/>
    </row>
    <row r="40" spans="1:9" x14ac:dyDescent="0.25">
      <c r="A40" s="1"/>
      <c r="B40" s="127" t="s">
        <v>200</v>
      </c>
      <c r="C40" s="128"/>
      <c r="D40" s="128"/>
      <c r="E40" s="128"/>
      <c r="F40" s="128"/>
      <c r="G40" s="140"/>
      <c r="H40" s="129"/>
      <c r="I40" s="1"/>
    </row>
    <row r="41" spans="1:9" x14ac:dyDescent="0.25">
      <c r="A41" s="1"/>
      <c r="B41" s="134" t="s">
        <v>71</v>
      </c>
      <c r="C41" s="135"/>
      <c r="D41" s="135"/>
      <c r="E41" s="135"/>
      <c r="F41" s="136"/>
      <c r="G41" s="58">
        <f>(G35+G36-G37)*(1+'Fane 13. Nøgletal'!C15)</f>
        <v>70585739.833296016</v>
      </c>
      <c r="H41" s="14" t="s">
        <v>3</v>
      </c>
      <c r="I41" s="1"/>
    </row>
    <row r="42" spans="1:9" x14ac:dyDescent="0.25">
      <c r="A42" s="1"/>
      <c r="B42" s="134" t="s">
        <v>211</v>
      </c>
      <c r="C42" s="135"/>
      <c r="D42" s="135"/>
      <c r="E42" s="135"/>
      <c r="F42" s="136"/>
      <c r="G42" s="63">
        <f>SUM('Fane 2.1. Økonomisk ramme 2023'!C10+'Fane 2.1. Økonomisk ramme 2023'!C12+'Fane 2.1. Økonomisk ramme 2023'!C14)*(1+'Fane 13. Nøgletal'!C15)</f>
        <v>145158.45717600003</v>
      </c>
      <c r="H42" s="14" t="s">
        <v>3</v>
      </c>
      <c r="I42" s="1"/>
    </row>
    <row r="43" spans="1:9" x14ac:dyDescent="0.25">
      <c r="A43" s="1"/>
      <c r="B43" s="134" t="s">
        <v>70</v>
      </c>
      <c r="C43" s="135"/>
      <c r="D43" s="135"/>
      <c r="E43" s="135"/>
      <c r="F43" s="136"/>
      <c r="G43" s="58">
        <f>(G41+G42)*'Fane 13. Nøgletal'!C26</f>
        <v>0</v>
      </c>
      <c r="H43" s="14" t="s">
        <v>3</v>
      </c>
      <c r="I43" s="1"/>
    </row>
    <row r="44" spans="1:9" x14ac:dyDescent="0.25">
      <c r="A44" s="1"/>
      <c r="B44" s="71"/>
      <c r="C44" s="72"/>
      <c r="D44" s="72"/>
      <c r="E44" s="72"/>
      <c r="F44" s="72"/>
      <c r="G44" s="61"/>
      <c r="H44" s="19"/>
      <c r="I44" s="1"/>
    </row>
    <row r="45" spans="1:9" ht="12" customHeight="1" x14ac:dyDescent="0.25">
      <c r="A45" s="1"/>
      <c r="B45" s="1"/>
      <c r="C45" s="1"/>
      <c r="D45" s="1"/>
      <c r="E45" s="1"/>
      <c r="F45" s="1"/>
      <c r="G45" s="62"/>
      <c r="H45" s="1"/>
      <c r="I45" s="1"/>
    </row>
    <row r="46" spans="1:9" x14ac:dyDescent="0.25">
      <c r="A46" s="1"/>
      <c r="B46" s="127" t="s">
        <v>201</v>
      </c>
      <c r="C46" s="128"/>
      <c r="D46" s="128"/>
      <c r="E46" s="128"/>
      <c r="F46" s="128"/>
      <c r="G46" s="140"/>
      <c r="H46" s="129"/>
      <c r="I46" s="1"/>
    </row>
    <row r="47" spans="1:9" x14ac:dyDescent="0.25">
      <c r="A47" s="1"/>
      <c r="B47" s="134" t="s">
        <v>124</v>
      </c>
      <c r="C47" s="135"/>
      <c r="D47" s="135"/>
      <c r="E47" s="135"/>
      <c r="F47" s="136"/>
      <c r="G47" s="58">
        <f>(G41+G42-G43)*(1+'Fane 13. Nøgletal'!C15)</f>
        <v>73248918.269612819</v>
      </c>
      <c r="H47" s="14" t="s">
        <v>3</v>
      </c>
      <c r="I47" s="1"/>
    </row>
    <row r="48" spans="1:9" x14ac:dyDescent="0.25">
      <c r="A48" s="1"/>
      <c r="B48" s="134" t="s">
        <v>125</v>
      </c>
      <c r="C48" s="135"/>
      <c r="D48" s="135"/>
      <c r="E48" s="135"/>
      <c r="F48" s="136"/>
      <c r="G48" s="58">
        <f>(G47)*'Fane 13. Nøgletal'!C26</f>
        <v>0</v>
      </c>
      <c r="H48" s="14" t="s">
        <v>3</v>
      </c>
      <c r="I48" s="1"/>
    </row>
    <row r="49" spans="1:9" x14ac:dyDescent="0.25">
      <c r="A49" s="1"/>
      <c r="B49" s="71"/>
      <c r="C49" s="72"/>
      <c r="D49" s="72"/>
      <c r="E49" s="72"/>
      <c r="F49" s="72"/>
      <c r="G49" s="61"/>
      <c r="H49" s="19"/>
      <c r="I49" s="1"/>
    </row>
    <row r="50" spans="1:9" x14ac:dyDescent="0.25">
      <c r="A50" s="1"/>
      <c r="B50" s="1"/>
      <c r="C50" s="1"/>
      <c r="D50" s="1"/>
      <c r="E50" s="1"/>
      <c r="F50" s="1"/>
      <c r="G50" s="62"/>
      <c r="H50" s="1"/>
      <c r="I50" s="1"/>
    </row>
    <row r="51" spans="1:9" x14ac:dyDescent="0.25">
      <c r="A51" s="1"/>
      <c r="B51" s="127" t="s">
        <v>142</v>
      </c>
      <c r="C51" s="128"/>
      <c r="D51" s="128"/>
      <c r="E51" s="128"/>
      <c r="F51" s="128"/>
      <c r="G51" s="140"/>
      <c r="H51" s="129"/>
      <c r="I51" s="1"/>
    </row>
    <row r="52" spans="1:9" x14ac:dyDescent="0.25">
      <c r="A52" s="1"/>
      <c r="B52" s="134" t="s">
        <v>143</v>
      </c>
      <c r="C52" s="135"/>
      <c r="D52" s="135"/>
      <c r="E52" s="135"/>
      <c r="F52" s="136"/>
      <c r="G52" s="58">
        <f>(G47-G48)*(1+'Fane 13. Nøgletal'!C15)</f>
        <v>75856579.760011047</v>
      </c>
      <c r="H52" s="14" t="s">
        <v>3</v>
      </c>
      <c r="I52" s="1"/>
    </row>
    <row r="53" spans="1:9" x14ac:dyDescent="0.25">
      <c r="A53" s="1"/>
      <c r="B53" s="134" t="s">
        <v>144</v>
      </c>
      <c r="C53" s="135"/>
      <c r="D53" s="135"/>
      <c r="E53" s="135"/>
      <c r="F53" s="136"/>
      <c r="G53" s="58">
        <f>(G52)*'Fane 13. Nøgletal'!C26</f>
        <v>0</v>
      </c>
      <c r="H53" s="14" t="s">
        <v>3</v>
      </c>
      <c r="I53" s="1"/>
    </row>
    <row r="54" spans="1:9" x14ac:dyDescent="0.25">
      <c r="A54" s="1"/>
      <c r="B54" s="71"/>
      <c r="C54" s="72"/>
      <c r="D54" s="72"/>
      <c r="E54" s="72"/>
      <c r="F54" s="72"/>
      <c r="G54" s="61"/>
      <c r="H54" s="19"/>
      <c r="I54" s="1"/>
    </row>
    <row r="55" spans="1:9" x14ac:dyDescent="0.25">
      <c r="A55" s="1"/>
      <c r="B55" s="1"/>
      <c r="C55" s="1"/>
      <c r="D55" s="1"/>
      <c r="E55" s="1"/>
      <c r="F55" s="1"/>
      <c r="G55" s="62"/>
      <c r="H55" s="1"/>
      <c r="I55" s="1"/>
    </row>
    <row r="56" spans="1:9" x14ac:dyDescent="0.25">
      <c r="A56" s="1"/>
      <c r="B56" s="127" t="s">
        <v>177</v>
      </c>
      <c r="C56" s="128"/>
      <c r="D56" s="128"/>
      <c r="E56" s="128"/>
      <c r="F56" s="128"/>
      <c r="G56" s="140"/>
      <c r="H56" s="129"/>
      <c r="I56" s="1"/>
    </row>
    <row r="57" spans="1:9" x14ac:dyDescent="0.25">
      <c r="A57" s="1"/>
      <c r="B57" s="134" t="s">
        <v>178</v>
      </c>
      <c r="C57" s="135"/>
      <c r="D57" s="135"/>
      <c r="E57" s="135"/>
      <c r="F57" s="136"/>
      <c r="G57" s="58">
        <f>(G52-G53)*(1+'Fane 13. Nøgletal'!C15)</f>
        <v>78557073.999467447</v>
      </c>
      <c r="H57" s="14" t="s">
        <v>3</v>
      </c>
      <c r="I57" s="1"/>
    </row>
    <row r="58" spans="1:9" x14ac:dyDescent="0.25">
      <c r="A58" s="1"/>
      <c r="B58" s="134" t="s">
        <v>179</v>
      </c>
      <c r="C58" s="135"/>
      <c r="D58" s="135"/>
      <c r="E58" s="135"/>
      <c r="F58" s="136"/>
      <c r="G58" s="58">
        <f>(G57)*'Fane 13. Nøgletal'!C26</f>
        <v>0</v>
      </c>
      <c r="H58" s="14" t="s">
        <v>3</v>
      </c>
      <c r="I58" s="1"/>
    </row>
    <row r="59" spans="1:9" x14ac:dyDescent="0.25">
      <c r="A59" s="1"/>
      <c r="B59" s="71"/>
      <c r="C59" s="72"/>
      <c r="D59" s="72"/>
      <c r="E59" s="72"/>
      <c r="F59" s="72"/>
      <c r="G59" s="72"/>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sheetData>
  <sheetProtection algorithmName="SHA-512" hashValue="2IAqkeIp0YPeVB50d+dIDmBzz2kHV5agWjVSfngapKWaTNZ4Y+oxvh0TezCJvMw+TuNfaZvYiwwngvhXY8sx8A==" saltValue="LsJ9ZFSs1XSo6ySVxhL7Hw=="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140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8" t="s">
        <v>82</v>
      </c>
      <c r="C3" s="108"/>
      <c r="D3" s="108"/>
      <c r="E3" s="108"/>
      <c r="F3" s="108"/>
      <c r="G3" s="108"/>
      <c r="H3" s="1"/>
    </row>
    <row r="4" spans="1:8" ht="15" customHeight="1" x14ac:dyDescent="0.25">
      <c r="A4" s="1"/>
      <c r="B4" s="108"/>
      <c r="C4" s="108"/>
      <c r="D4" s="108"/>
      <c r="E4" s="108"/>
      <c r="F4" s="108"/>
      <c r="G4" s="10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9</v>
      </c>
      <c r="C8" s="128"/>
      <c r="D8" s="128"/>
      <c r="E8" s="128"/>
      <c r="F8" s="128"/>
      <c r="G8" s="128"/>
      <c r="H8" s="1"/>
    </row>
    <row r="9" spans="1:8" x14ac:dyDescent="0.25">
      <c r="A9" s="1"/>
      <c r="B9" s="85" t="s">
        <v>180</v>
      </c>
      <c r="C9" s="86"/>
      <c r="D9" s="86"/>
      <c r="E9" s="86"/>
      <c r="F9" s="87"/>
      <c r="G9" s="28">
        <v>0.02</v>
      </c>
      <c r="H9" s="1"/>
    </row>
    <row r="10" spans="1:8" x14ac:dyDescent="0.25">
      <c r="A10" s="1"/>
      <c r="B10" s="83"/>
      <c r="C10" s="84"/>
      <c r="D10" s="84"/>
      <c r="E10" s="84"/>
      <c r="F10" s="84"/>
      <c r="G10" s="84"/>
      <c r="H10" s="1"/>
    </row>
    <row r="11" spans="1:8" x14ac:dyDescent="0.25">
      <c r="A11" s="1"/>
      <c r="B11" s="1"/>
      <c r="C11" s="1"/>
      <c r="D11" s="1"/>
      <c r="E11" s="1"/>
      <c r="F11" s="1"/>
      <c r="G11" s="1"/>
      <c r="H11" s="1"/>
    </row>
    <row r="12" spans="1:8" ht="31.5" customHeight="1" x14ac:dyDescent="0.25">
      <c r="A12" s="1"/>
      <c r="B12" s="144" t="s">
        <v>202</v>
      </c>
      <c r="C12" s="144"/>
      <c r="D12" s="144"/>
      <c r="E12" s="144"/>
      <c r="F12" s="144"/>
      <c r="G12" s="14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N5yzpl83gA3CzK9JC26DEVpJpvP2Yk3ZFES9htCvB/U+aqvK2s18OMjwMHIgo+ZtSRqh0Ykk8wTUw9Lq6HOUfg==" saltValue="6zoMNoJBgXeplLsdSpAF6w=="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2022-12-01T09:29:56Z</dcterms:modified>
</cp:coreProperties>
</file>