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ssens Vandværk AS (V01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G25" i="11" l="1"/>
  <c r="F25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14" i="27" l="1"/>
  <c r="E26" i="32" l="1"/>
  <c r="E23" i="11" l="1"/>
  <c r="E24" i="11"/>
  <c r="E10" i="11"/>
  <c r="E25" i="11" s="1"/>
  <c r="E9" i="32" l="1"/>
  <c r="E39" i="32" s="1"/>
  <c r="E42" i="32" s="1"/>
  <c r="E21" i="15" l="1"/>
  <c r="E25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4" i="32"/>
  <c r="E40" i="32" s="1"/>
  <c r="E43" i="32" s="1"/>
  <c r="E22" i="15" l="1"/>
  <c r="E26" i="2"/>
  <c r="C10" i="37"/>
  <c r="C11" i="37" s="1"/>
  <c r="C12" i="37" s="1"/>
  <c r="E11" i="21" l="1"/>
  <c r="C11" i="21"/>
  <c r="E11" i="29"/>
  <c r="C11" i="29"/>
  <c r="C14" i="19"/>
  <c r="E14" i="23" l="1"/>
  <c r="E19" i="2"/>
  <c r="E14" i="22"/>
  <c r="E15" i="15"/>
  <c r="C12" i="21"/>
  <c r="E12" i="21"/>
  <c r="C12" i="29"/>
  <c r="E12" i="29"/>
  <c r="E14" i="2" l="1"/>
  <c r="E13" i="2"/>
  <c r="E10" i="37" l="1"/>
  <c r="E11" i="37" s="1"/>
  <c r="E12" i="37" s="1"/>
  <c r="E12" i="2" s="1"/>
  <c r="E15" i="2" l="1"/>
  <c r="E16" i="2" l="1"/>
  <c r="E17" i="2" s="1"/>
  <c r="E29" i="2" l="1"/>
  <c r="E9" i="15"/>
  <c r="E11" i="15" s="1"/>
  <c r="E12" i="15" s="1"/>
  <c r="E13" i="15" l="1"/>
  <c r="E23" i="15" s="1"/>
  <c r="E8" i="22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<sst xmlns="http://schemas.openxmlformats.org/spreadsheetml/2006/main" count="458" uniqueCount="179">
  <si>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</si>
  <si>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</si>
  <si>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</si>
  <si>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</si>
  <si>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</si>
  <si>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</si>
  <si>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</si>
  <si>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</si>
  <si>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</si>
  <si>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</si>
  <si>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</si>
  <si>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</si>
  <si>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</si>
  <si>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</si>
  <si>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</si>
  <si>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</si>
  <si>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</si>
  <si>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</si>
  <si>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</si>
  <si>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</si>
  <si>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</si>
  <si>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</si>
  <si>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</si>
  <si>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</si>
  <si>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</si>
  <si>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</si>
  <si>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</si>
  <si>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</si>
  <si>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</si>
  <si>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</si>
  <si>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</si>
  <si>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</si>
  <si>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</si>
  <si>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</si>
  <si>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</si>
  <si>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</si>
  <si>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</si>
  <si>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</si>
  <si>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</si>
  <si>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</si>
  <si>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</si>
  <si>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</si>
  <si>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</si>
  <si>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</si>
  <si>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</si>
  <si>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</si>
  <si>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</si>
  <si>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</si>
  <si>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</si>
  <si>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</si>
  <si>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</si>
  <si>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</si>
  <si>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</si>
  <si>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</si>
  <si>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</si>
  <si>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</si>
  <si>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</si>
  <si>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</si>
  <si>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</si>
  <si>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</si>
  <si>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</si>
  <si>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</si>
  <si>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</si>
  <si>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</si>
  <si>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</si>
  <si>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</si>
  <si>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</si>
  <si>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</si>
  <si>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</si>
  <si>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</si>
  <si>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</si>
  <si>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</si>
  <si>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</si>
  <si>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</si>
  <si>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</si>
  <si>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</si>
  <si>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</si>
  <si>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</si>
  <si>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</si>
  <si>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</si>
  <si>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</si>
  <si>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</si>
  <si>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</si>
  <si>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</si>
  <si>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</si>
  <si>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</si>
  <si>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</si>
  <si>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</si>
  <si>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</si>
  <si>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</si>
  <si>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</si>
  <si>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</si>
  <si>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</si>
  <si>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</si>
  <si>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</si>
  <si>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</si>
  <si>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</si>
  <si>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</si>
  <si>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</si>
  <si>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</si>
  <si>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</si>
  <si>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</si>
  <si>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</si>
  <si>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</si>
  <si>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</si>
  <si>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</si>
  <si>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</si>
  <si>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</si>
  <si>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</si>
  <si>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</si>
  <si>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</si>
  <si>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</si>
  <si>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</si>
  <si>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</si>
  <si>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</si>
  <si>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</si>
  <si>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</si>
  <si>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</si>
  <si>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</si>
  <si>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</si>
  <si>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</si>
  <si>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</si>
  <si>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</si>
  <si>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</si>
  <si>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</si>
  <si>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</si>
  <si>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</si>
  <si>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</si>
  <si>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</si>
  <si>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</si>
  <si>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</si>
  <si>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</si>
  <si>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</si>
  <si>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</si>
  <si>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</si>
  <si>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</si>
  <si>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</si>
  <si>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</si>
  <si>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</si>
  <si>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</si>
  <si>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</si>
  <si>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</si>
  <si>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</si>
  <si>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</si>
  <si>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</si>
  <si>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</si>
  <si>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</si>
  <si>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</si>
  <si>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</si>
  <si>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</si>
  <si>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</si>
  <si>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</si>
  <si>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</si>
  <si>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</si>
  <si>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</si>
  <si>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Ingen engangstillæg</t>
  </si>
  <si>
    <t>Boring (inkl. etablering, forerør, filter og prøvepumpning)</t>
  </si>
  <si>
    <t>30</t>
  </si>
  <si>
    <t>Råvandsstation komplet montering og boringshus/tørbrønd</t>
  </si>
  <si>
    <t>Beluftningsanlæg, kompressorbeluftning</t>
  </si>
  <si>
    <t>25</t>
  </si>
  <si>
    <t>Filteranlæg, trykfiltre, dobbelt filtrering</t>
  </si>
  <si>
    <t>Rentvandsbeholder  element</t>
  </si>
  <si>
    <t>50</t>
  </si>
  <si>
    <t>Udpumpningsanlæg, rentvandspumper på vandværk</t>
  </si>
  <si>
    <t>Udpumpningsanlæg, Freqvensomformer</t>
  </si>
  <si>
    <t>Skyllevand-/slamhåndteringsanlæg - lukkede betonbeholdere</t>
  </si>
  <si>
    <t>Elanlæg - vandværk</t>
  </si>
  <si>
    <t>SRO-anlæg, vandværk</t>
  </si>
  <si>
    <t>10</t>
  </si>
  <si>
    <t>Ventiler på Ø 50mm &lt; Ledningsnet ≤ Ø110 mm</t>
  </si>
  <si>
    <t>75</t>
  </si>
  <si>
    <t>Ø110 mm &lt; Ledningsnet ≤ Ø 250 mm</t>
  </si>
  <si>
    <t>Ledningsnet ≤ Ø50 mm</t>
  </si>
  <si>
    <t>Ø 50mm &lt; Ledningsnet ≤ Ø110 mm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</si>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</sst>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3" t="s">
        <v>131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83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132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37</v>
      </c>
      <c r="D15" s="58" t="s">
        <v>47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38</v>
      </c>
      <c r="D16" s="58" t="s">
        <v>84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79</v>
      </c>
      <c r="D17" s="58" t="s">
        <v>85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55" t="s">
        <v>12</v>
      </c>
      <c r="E18" s="56"/>
      <c r="F18" s="56"/>
      <c r="G18" s="57"/>
      <c r="H18" s="1"/>
      <c r="I18" s="1"/>
    </row>
    <row r="19" spans="1:9" x14ac:dyDescent="0.45">
      <c r="A19" s="1"/>
      <c r="B19" s="1"/>
      <c r="C19" s="6" t="s">
        <v>8</v>
      </c>
      <c r="D19" s="49" t="s">
        <v>86</v>
      </c>
      <c r="E19" s="50"/>
      <c r="F19" s="50"/>
      <c r="G19" s="51"/>
      <c r="H19" s="1"/>
      <c r="I19" s="1"/>
    </row>
    <row r="20" spans="1:9" x14ac:dyDescent="0.45">
      <c r="A20" s="1"/>
      <c r="B20" s="1"/>
      <c r="C20" s="6" t="s">
        <v>74</v>
      </c>
      <c r="D20" s="49" t="s">
        <v>39</v>
      </c>
      <c r="E20" s="50"/>
      <c r="F20" s="50"/>
      <c r="G20" s="51"/>
      <c r="H20" s="1"/>
      <c r="I20" s="1"/>
    </row>
    <row r="21" spans="1:9" x14ac:dyDescent="0.45">
      <c r="A21" s="1"/>
      <c r="B21" s="1"/>
      <c r="C21" s="6" t="s">
        <v>121</v>
      </c>
      <c r="D21" s="49" t="s">
        <v>51</v>
      </c>
      <c r="E21" s="50"/>
      <c r="F21" s="50"/>
      <c r="G21" s="51"/>
      <c r="H21" s="1"/>
      <c r="I21" s="1"/>
    </row>
    <row r="22" spans="1:9" x14ac:dyDescent="0.45">
      <c r="A22" s="1"/>
      <c r="B22" s="1"/>
      <c r="C22" s="6" t="s">
        <v>122</v>
      </c>
      <c r="D22" s="49" t="s">
        <v>52</v>
      </c>
      <c r="E22" s="50"/>
      <c r="F22" s="50"/>
      <c r="G22" s="51"/>
      <c r="H22" s="1"/>
      <c r="I22" s="1"/>
    </row>
    <row r="23" spans="1:9" x14ac:dyDescent="0.45">
      <c r="A23" s="1"/>
      <c r="B23" s="1"/>
      <c r="C23" s="6" t="s">
        <v>123</v>
      </c>
      <c r="D23" s="49" t="s">
        <v>87</v>
      </c>
      <c r="E23" s="50"/>
      <c r="F23" s="50"/>
      <c r="G23" s="51"/>
      <c r="H23" s="1"/>
      <c r="I23" s="1"/>
    </row>
    <row r="24" spans="1:9" x14ac:dyDescent="0.45">
      <c r="A24" s="1"/>
      <c r="B24" s="1"/>
      <c r="C24" s="6" t="s">
        <v>9</v>
      </c>
      <c r="D24" s="49" t="s">
        <v>40</v>
      </c>
      <c r="E24" s="50"/>
      <c r="F24" s="50"/>
      <c r="G24" s="51"/>
      <c r="H24" s="1"/>
      <c r="I24" s="1"/>
    </row>
    <row r="25" spans="1:9" x14ac:dyDescent="0.45">
      <c r="A25" s="1"/>
      <c r="B25" s="1"/>
      <c r="C25" s="6" t="s">
        <v>61</v>
      </c>
      <c r="D25" s="52" t="s">
        <v>75</v>
      </c>
      <c r="E25" s="53"/>
      <c r="F25" s="53"/>
      <c r="G25" s="54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xMVoxw4b2es1H+obTP9JmQ/io/5Z/aTdu0ys/S2iRMV9tT6Se2anHPUtVkwI7ytEazcfgLfeGEMZ2CnejbiEw==" saltValue="wqN6KvH6/AIGWqtRxphB7g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4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45">
      <c r="A10" s="1"/>
      <c r="B10" s="20" t="s">
        <v>119</v>
      </c>
      <c r="C10" s="19">
        <f>'Fane 6. Anlægsprojekter'!F25</f>
        <v>0</v>
      </c>
      <c r="D10" s="12" t="s">
        <v>3</v>
      </c>
      <c r="E10" s="8">
        <f>SUM('Fane 6. Anlægsprojekter'!E25,'Fane 6. Anlægsprojekter'!G25)</f>
        <v>1971648.9101333334</v>
      </c>
      <c r="F10" s="12" t="s">
        <v>3</v>
      </c>
      <c r="G10" s="1"/>
    </row>
    <row r="11" spans="1:7" x14ac:dyDescent="0.4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1971648.9101333334</v>
      </c>
      <c r="F11" s="11" t="s">
        <v>3</v>
      </c>
      <c r="G11" s="1"/>
    </row>
    <row r="12" spans="1:7" x14ac:dyDescent="0.4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1995703.0268369601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cARy4GPMg16IUH0kP8KYfru5TvPirmHY96LgM+YM9L1/27oBSGJzNUOtP7OkTrp2271E2KsjdvTXvc+lDLnnLA==" saltValue="TKZspEgFLDSvXinkr9kM3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65</v>
      </c>
      <c r="C8" s="83"/>
      <c r="D8" s="83"/>
      <c r="E8" s="83"/>
      <c r="F8" s="84"/>
      <c r="G8" s="1"/>
    </row>
    <row r="9" spans="1:7" x14ac:dyDescent="0.4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45">
      <c r="A10" s="1"/>
      <c r="B10" s="20" t="s">
        <v>155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2" t="s">
        <v>66</v>
      </c>
      <c r="C15" s="83"/>
      <c r="D15" s="83"/>
      <c r="E15" s="83"/>
      <c r="F15" s="84"/>
      <c r="G15" s="1"/>
    </row>
    <row r="16" spans="1:7" x14ac:dyDescent="0.45">
      <c r="A16" s="1"/>
      <c r="B16" s="33" t="s">
        <v>16</v>
      </c>
      <c r="C16" s="33" t="s">
        <v>11</v>
      </c>
      <c r="D16" s="34"/>
      <c r="E16" s="33" t="s">
        <v>31</v>
      </c>
      <c r="F16" s="43"/>
      <c r="G16" s="1"/>
    </row>
    <row r="17" spans="1:7" x14ac:dyDescent="0.45">
      <c r="A17" s="1"/>
      <c r="B17" s="20" t="s">
        <v>155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2" t="s">
        <v>67</v>
      </c>
      <c r="C22" s="83"/>
      <c r="D22" s="83"/>
      <c r="E22" s="83"/>
      <c r="F22" s="84"/>
      <c r="G22" s="1"/>
    </row>
    <row r="23" spans="1:7" x14ac:dyDescent="0.45">
      <c r="A23" s="1"/>
      <c r="B23" s="33" t="s">
        <v>16</v>
      </c>
      <c r="C23" s="33" t="s">
        <v>11</v>
      </c>
      <c r="D23" s="34"/>
      <c r="E23" s="33" t="s">
        <v>31</v>
      </c>
      <c r="F23" s="43"/>
      <c r="G23" s="1"/>
    </row>
    <row r="24" spans="1:7" x14ac:dyDescent="0.45">
      <c r="A24" s="1"/>
      <c r="B24" s="20" t="s">
        <v>155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2" t="s">
        <v>114</v>
      </c>
      <c r="C29" s="83"/>
      <c r="D29" s="83"/>
      <c r="E29" s="83"/>
      <c r="F29" s="84"/>
      <c r="G29" s="1"/>
    </row>
    <row r="30" spans="1:7" x14ac:dyDescent="0.45">
      <c r="A30" s="1"/>
      <c r="B30" s="33" t="s">
        <v>16</v>
      </c>
      <c r="C30" s="33" t="s">
        <v>11</v>
      </c>
      <c r="D30" s="34"/>
      <c r="E30" s="33" t="s">
        <v>31</v>
      </c>
      <c r="F30" s="43"/>
      <c r="G30" s="1"/>
    </row>
    <row r="31" spans="1:7" x14ac:dyDescent="0.45">
      <c r="A31" s="1"/>
      <c r="B31" s="20" t="s">
        <v>155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/vJzsdSAXIUqNYlCpQTLAOKH8z9qfBQWwazfDD2tdyF1xeiZeXl/orgYboM5tbcnzA1xcUpDTF+HPx1onjO7Q==" saltValue="dunl1PQsfLOB7UKC6QNJV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142</v>
      </c>
      <c r="C3" s="66"/>
      <c r="D3" s="66"/>
      <c r="E3" s="66"/>
      <c r="F3" s="66"/>
      <c r="G3" s="1"/>
    </row>
    <row r="4" spans="1:7" ht="25.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4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hHzjcnFsegbCRjAr1gagygyG6nOPXJnzd48BKLHpFnJCOGUeDXz1gZTjkJ4CaRRKNI8E5pCGhhomrADUk6vb1Q==" saltValue="XAxC7fMIE246OFCFbgw9s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143</v>
      </c>
      <c r="C3" s="66"/>
      <c r="D3" s="66"/>
      <c r="E3" s="66"/>
      <c r="F3" s="66"/>
      <c r="G3" s="1"/>
    </row>
    <row r="4" spans="1:7" ht="25.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2" t="s">
        <v>58</v>
      </c>
      <c r="C14" s="83"/>
      <c r="D14" s="83"/>
      <c r="E14" s="83"/>
      <c r="F14" s="84"/>
      <c r="G14" s="1"/>
    </row>
    <row r="15" spans="1:7" x14ac:dyDescent="0.4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4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2" t="s">
        <v>60</v>
      </c>
      <c r="C20" s="83"/>
      <c r="D20" s="83"/>
      <c r="E20" s="83"/>
      <c r="F20" s="84"/>
      <c r="G20" s="1"/>
    </row>
    <row r="21" spans="1:7" x14ac:dyDescent="0.4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4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2" t="s">
        <v>109</v>
      </c>
      <c r="C26" s="83"/>
      <c r="D26" s="83"/>
      <c r="E26" s="83"/>
      <c r="F26" s="84"/>
      <c r="G26" s="1"/>
    </row>
    <row r="27" spans="1:7" x14ac:dyDescent="0.4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4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6iedxYTe53elL+AsfIJob3J6l5shXTjEjTr1XWnSfMbEqYpeW5FTTmJMFzo+3LvdiHdYT56EPWJlxKZbUxjiNA==" saltValue="5L8WQJly1RC6sOYUGrsgY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6" t="s">
        <v>144</v>
      </c>
      <c r="C3" s="66"/>
      <c r="D3" s="1"/>
    </row>
    <row r="4" spans="1:4" ht="25.5" customHeight="1" x14ac:dyDescent="0.45">
      <c r="A4" s="1"/>
      <c r="B4" s="66"/>
      <c r="C4" s="6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45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4"/>
      <c r="C14" s="45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72</v>
      </c>
      <c r="C17" s="45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4"/>
      <c r="C19" s="95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u9zMB8j8334WR+WCPa+gCo9hbkI0EI/wcYrNXsgACcvpcarJNdSzRX4AxhF/ujg4ybeP/3/KkgLDk00tqrxHfw==" saltValue="SKvyS4WGGWyKd+o4PQ9fY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13</v>
      </c>
      <c r="C8" s="37"/>
      <c r="D8" s="37"/>
      <c r="E8" s="37"/>
      <c r="F8" s="37"/>
      <c r="G8" s="1"/>
    </row>
    <row r="9" spans="1:7" x14ac:dyDescent="0.45">
      <c r="A9" s="1"/>
      <c r="B9" s="40" t="s">
        <v>26</v>
      </c>
      <c r="C9" s="40"/>
      <c r="D9" s="40"/>
      <c r="E9" s="7">
        <f>'Fane 3. Omkostninger i ØR2020'!E16</f>
        <v>7827715.0170889376</v>
      </c>
      <c r="F9" s="40" t="s">
        <v>3</v>
      </c>
      <c r="G9" s="1"/>
    </row>
    <row r="10" spans="1:7" x14ac:dyDescent="0.45">
      <c r="A10" s="1"/>
      <c r="B10" s="40" t="s">
        <v>175</v>
      </c>
      <c r="C10" s="40"/>
      <c r="D10" s="40"/>
      <c r="E10" s="7">
        <v>-7276.3579179793805</v>
      </c>
      <c r="F10" s="40" t="s">
        <v>3</v>
      </c>
      <c r="G10" s="1"/>
    </row>
    <row r="11" spans="1:7" ht="17.100000000000001" customHeight="1" x14ac:dyDescent="0.45">
      <c r="A11" s="1"/>
      <c r="B11" s="40" t="s">
        <v>120</v>
      </c>
      <c r="C11" s="40"/>
      <c r="D11" s="40"/>
      <c r="E11" s="7">
        <v>-133895.68938177737</v>
      </c>
      <c r="F11" s="40" t="s">
        <v>3</v>
      </c>
      <c r="G11" s="1"/>
    </row>
    <row r="12" spans="1:7" ht="17.100000000000001" customHeight="1" x14ac:dyDescent="0.45">
      <c r="A12" s="1"/>
      <c r="B12" s="27" t="s">
        <v>80</v>
      </c>
      <c r="C12" s="40"/>
      <c r="D12" s="40"/>
      <c r="E12" s="7">
        <f>'Fane 7.1. Varige tillæg'!C12+'Fane 7.1. Varige tillæg'!E12</f>
        <v>1995703.0268369601</v>
      </c>
      <c r="F12" s="40" t="s">
        <v>3</v>
      </c>
      <c r="G12" s="1"/>
    </row>
    <row r="13" spans="1:7" ht="17.100000000000001" customHeight="1" x14ac:dyDescent="0.45">
      <c r="A13" s="1"/>
      <c r="B13" s="27" t="s">
        <v>82</v>
      </c>
      <c r="C13" s="40"/>
      <c r="D13" s="40"/>
      <c r="E13" s="8">
        <f>-('Fane 9. Bortfald'!C12+'Fane 9. Bortfald'!E12)</f>
        <v>0</v>
      </c>
      <c r="F13" s="40" t="s">
        <v>3</v>
      </c>
      <c r="G13" s="1"/>
    </row>
    <row r="14" spans="1:7" ht="17.100000000000001" customHeight="1" x14ac:dyDescent="0.45">
      <c r="A14" s="1"/>
      <c r="B14" s="27" t="s">
        <v>89</v>
      </c>
      <c r="C14" s="40"/>
      <c r="D14" s="40"/>
      <c r="E14" s="8">
        <f>'Fane 8. Tilknyttet virksomhed'!C12+'Fane 8. Tilknyttet virksomhed'!E12</f>
        <v>0</v>
      </c>
      <c r="F14" s="40" t="s">
        <v>3</v>
      </c>
      <c r="G14" s="1"/>
    </row>
    <row r="15" spans="1:7" ht="17.100000000000001" customHeight="1" x14ac:dyDescent="0.45">
      <c r="A15" s="1"/>
      <c r="B15" s="27" t="s">
        <v>18</v>
      </c>
      <c r="C15" s="40"/>
      <c r="D15" s="40"/>
      <c r="E15" s="8">
        <f>SUM(E9:E14)*'Fane 10. Nøgletal'!C13</f>
        <v>118123.40115883893</v>
      </c>
      <c r="F15" s="40" t="s">
        <v>3</v>
      </c>
      <c r="G15" s="1"/>
    </row>
    <row r="16" spans="1:7" ht="17.100000000000001" customHeight="1" x14ac:dyDescent="0.45">
      <c r="A16" s="1"/>
      <c r="B16" s="27" t="s">
        <v>72</v>
      </c>
      <c r="C16" s="40"/>
      <c r="D16" s="40"/>
      <c r="E16" s="8">
        <f>-SUM(E9:E15)*'Fane 10. Nøgletal'!C18</f>
        <v>-166606.27976234467</v>
      </c>
      <c r="F16" s="40" t="s">
        <v>3</v>
      </c>
      <c r="G16" s="1"/>
    </row>
    <row r="17" spans="1:7" ht="15" customHeight="1" x14ac:dyDescent="0.45">
      <c r="A17" s="1"/>
      <c r="B17" s="41" t="s">
        <v>20</v>
      </c>
      <c r="C17" s="36"/>
      <c r="D17" s="36"/>
      <c r="E17" s="9">
        <f>SUM(E9:E16)</f>
        <v>9633763.1180226356</v>
      </c>
      <c r="F17" s="38" t="s">
        <v>3</v>
      </c>
      <c r="G17" s="1"/>
    </row>
    <row r="18" spans="1:7" ht="15" customHeight="1" x14ac:dyDescent="0.45">
      <c r="A18" s="1"/>
      <c r="B18" s="37" t="s">
        <v>12</v>
      </c>
      <c r="C18" s="37"/>
      <c r="D18" s="37"/>
      <c r="E18" s="37"/>
      <c r="F18" s="37"/>
      <c r="G18" s="1"/>
    </row>
    <row r="19" spans="1:7" ht="15" customHeight="1" x14ac:dyDescent="0.45">
      <c r="A19" s="1"/>
      <c r="B19" s="38" t="s">
        <v>12</v>
      </c>
      <c r="C19" s="38"/>
      <c r="D19" s="38"/>
      <c r="E19" s="9">
        <f>'Fane 4. Ikke-påvirkelige omk.'!C14</f>
        <v>3642690.8841978288</v>
      </c>
      <c r="F19" s="38" t="s">
        <v>3</v>
      </c>
      <c r="G19" s="1"/>
    </row>
    <row r="20" spans="1:7" ht="15" customHeight="1" x14ac:dyDescent="0.45">
      <c r="A20" s="1"/>
      <c r="B20" s="37" t="s">
        <v>52</v>
      </c>
      <c r="C20" s="37"/>
      <c r="D20" s="37"/>
      <c r="E20" s="37"/>
      <c r="F20" s="37"/>
      <c r="G20" s="1"/>
    </row>
    <row r="21" spans="1:7" ht="15" customHeight="1" x14ac:dyDescent="0.45">
      <c r="A21" s="1"/>
      <c r="B21" s="27" t="s">
        <v>49</v>
      </c>
      <c r="C21" s="40"/>
      <c r="D21" s="40"/>
      <c r="E21" s="8">
        <f>'Fane 7.2. Engangstillæg'!C13</f>
        <v>0</v>
      </c>
      <c r="F21" s="40" t="s">
        <v>3</v>
      </c>
      <c r="G21" s="1"/>
    </row>
    <row r="22" spans="1:7" x14ac:dyDescent="0.45">
      <c r="A22" s="1"/>
      <c r="B22" s="27" t="s">
        <v>50</v>
      </c>
      <c r="C22" s="40"/>
      <c r="D22" s="40"/>
      <c r="E22" s="8">
        <f>'Fane 7.2. Engangstillæg'!E13</f>
        <v>0</v>
      </c>
      <c r="F22" s="40" t="s">
        <v>3</v>
      </c>
      <c r="G22" s="1"/>
    </row>
    <row r="23" spans="1:7" ht="15" customHeight="1" x14ac:dyDescent="0.45">
      <c r="A23" s="1"/>
      <c r="B23" s="41" t="s">
        <v>53</v>
      </c>
      <c r="C23" s="36"/>
      <c r="D23" s="36"/>
      <c r="E23" s="9">
        <f>SUM(E21:E22)</f>
        <v>0</v>
      </c>
      <c r="F23" s="38" t="s">
        <v>3</v>
      </c>
      <c r="G23" s="1"/>
    </row>
    <row r="24" spans="1:7" x14ac:dyDescent="0.45">
      <c r="A24" s="1"/>
      <c r="B24" s="37" t="s">
        <v>124</v>
      </c>
      <c r="C24" s="37"/>
      <c r="D24" s="37"/>
      <c r="E24" s="37"/>
      <c r="F24" s="37"/>
      <c r="G24" s="1"/>
    </row>
    <row r="25" spans="1:7" x14ac:dyDescent="0.45">
      <c r="A25" s="1"/>
      <c r="B25" s="41" t="s">
        <v>36</v>
      </c>
      <c r="C25" s="36"/>
      <c r="D25" s="36"/>
      <c r="E25" s="9">
        <f>'Fane 5. Kontrol af ØR2019'!E42</f>
        <v>137608.02860727254</v>
      </c>
      <c r="F25" s="38" t="s">
        <v>3</v>
      </c>
      <c r="G25" s="1"/>
    </row>
    <row r="26" spans="1:7" x14ac:dyDescent="0.45">
      <c r="A26" s="1"/>
      <c r="B26" s="32" t="s">
        <v>125</v>
      </c>
      <c r="C26" s="36"/>
      <c r="D26" s="36"/>
      <c r="E26" s="9">
        <f>'Fane 5. Kontrol af ØR2019'!E43</f>
        <v>0</v>
      </c>
      <c r="F26" s="38" t="s">
        <v>3</v>
      </c>
      <c r="G26" s="1"/>
    </row>
    <row r="27" spans="1:7" x14ac:dyDescent="0.45">
      <c r="A27" s="1"/>
      <c r="B27" s="37" t="s">
        <v>176</v>
      </c>
      <c r="C27" s="37"/>
      <c r="D27" s="37"/>
      <c r="E27" s="37"/>
      <c r="F27" s="37"/>
      <c r="G27" s="1"/>
    </row>
    <row r="28" spans="1:7" x14ac:dyDescent="0.45">
      <c r="A28" s="1"/>
      <c r="B28" s="32" t="s">
        <v>177</v>
      </c>
      <c r="C28" s="36"/>
      <c r="D28" s="36"/>
      <c r="E28" s="9">
        <v>506.78472599829195</v>
      </c>
      <c r="F28" s="38" t="s">
        <v>3</v>
      </c>
      <c r="G28" s="1"/>
    </row>
    <row r="29" spans="1:7" x14ac:dyDescent="0.45">
      <c r="A29" s="1"/>
      <c r="B29" s="37" t="s">
        <v>28</v>
      </c>
      <c r="C29" s="37"/>
      <c r="D29" s="37"/>
      <c r="E29" s="10">
        <f>SUM(E17,E19,E23,E25,E26,E28)</f>
        <v>13414568.815553736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GCOYHS7qUOfKlacnif8jOTjLCiGx3OOCd5v7ZkSueuafKAUc27Yw4YSM8XPpf9fxdfHH8/zRrY3UMJJH5WkGtQ==" saltValue="LXvKNTi9DU6zR/56GS4F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13</v>
      </c>
      <c r="C8" s="37"/>
      <c r="D8" s="37"/>
      <c r="E8" s="37"/>
      <c r="F8" s="37"/>
      <c r="G8" s="1"/>
    </row>
    <row r="9" spans="1:7" ht="15" customHeight="1" x14ac:dyDescent="0.45">
      <c r="A9" s="1"/>
      <c r="B9" s="40" t="s">
        <v>27</v>
      </c>
      <c r="C9" s="40"/>
      <c r="D9" s="40"/>
      <c r="E9" s="7">
        <f>'Fane 2.1. Økonomisk ramme 2021'!E17</f>
        <v>9633763.1180226356</v>
      </c>
      <c r="F9" s="40" t="s">
        <v>3</v>
      </c>
      <c r="G9" s="1"/>
    </row>
    <row r="10" spans="1:7" ht="15" customHeight="1" x14ac:dyDescent="0.45">
      <c r="A10" s="1"/>
      <c r="B10" s="27" t="s">
        <v>82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45">
      <c r="A11" s="1"/>
      <c r="B11" s="35" t="s">
        <v>18</v>
      </c>
      <c r="C11" s="40"/>
      <c r="D11" s="40"/>
      <c r="E11" s="8">
        <f>SUM(E9:E10)*'Fane 10. Nøgletal'!C13</f>
        <v>117531.91003987617</v>
      </c>
      <c r="F11" s="40" t="s">
        <v>3</v>
      </c>
      <c r="G11" s="1"/>
    </row>
    <row r="12" spans="1:7" ht="15" customHeight="1" x14ac:dyDescent="0.45">
      <c r="A12" s="1"/>
      <c r="B12" s="35" t="s">
        <v>72</v>
      </c>
      <c r="C12" s="40"/>
      <c r="D12" s="40"/>
      <c r="E12" s="8">
        <f>-SUM(E9:E11)*'Fane 10. Nøgletal'!C18</f>
        <v>-165772.0154770627</v>
      </c>
      <c r="F12" s="40" t="s">
        <v>3</v>
      </c>
      <c r="G12" s="1"/>
    </row>
    <row r="13" spans="1:7" ht="15" customHeight="1" x14ac:dyDescent="0.45">
      <c r="A13" s="1"/>
      <c r="B13" s="36" t="s">
        <v>20</v>
      </c>
      <c r="C13" s="36"/>
      <c r="D13" s="36"/>
      <c r="E13" s="9">
        <f>SUM(E9:E12)</f>
        <v>9585523.0125854481</v>
      </c>
      <c r="F13" s="38" t="s">
        <v>3</v>
      </c>
      <c r="G13" s="1"/>
    </row>
    <row r="14" spans="1:7" x14ac:dyDescent="0.45">
      <c r="A14" s="1"/>
      <c r="B14" s="37" t="s">
        <v>12</v>
      </c>
      <c r="C14" s="37"/>
      <c r="D14" s="37"/>
      <c r="E14" s="37"/>
      <c r="F14" s="37"/>
      <c r="G14" s="1"/>
    </row>
    <row r="15" spans="1:7" ht="15" customHeight="1" x14ac:dyDescent="0.45">
      <c r="A15" s="1"/>
      <c r="B15" s="38" t="s">
        <v>12</v>
      </c>
      <c r="C15" s="38"/>
      <c r="D15" s="38"/>
      <c r="E15" s="9">
        <f>'Fane 4. Ikke-påvirkelige omk.'!C14*(1+'Fane 10. Nøgletal'!C13)</f>
        <v>3687131.7129850425</v>
      </c>
      <c r="F15" s="38" t="s">
        <v>3</v>
      </c>
      <c r="G15" s="1"/>
    </row>
    <row r="16" spans="1:7" ht="15" customHeight="1" x14ac:dyDescent="0.45">
      <c r="A16" s="1"/>
      <c r="B16" s="37" t="s">
        <v>52</v>
      </c>
      <c r="C16" s="37"/>
      <c r="D16" s="37"/>
      <c r="E16" s="37"/>
      <c r="F16" s="37"/>
      <c r="G16" s="1"/>
    </row>
    <row r="17" spans="1:7" ht="15" customHeight="1" x14ac:dyDescent="0.45">
      <c r="A17" s="1"/>
      <c r="B17" s="27" t="s">
        <v>49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45">
      <c r="A18" s="1"/>
      <c r="B18" s="27" t="s">
        <v>50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45">
      <c r="A19" s="1"/>
      <c r="B19" s="41" t="s">
        <v>53</v>
      </c>
      <c r="C19" s="36"/>
      <c r="D19" s="36"/>
      <c r="E19" s="9">
        <f>SUM(E17:E18)</f>
        <v>0</v>
      </c>
      <c r="F19" s="38" t="s">
        <v>3</v>
      </c>
      <c r="G19" s="1"/>
    </row>
    <row r="20" spans="1:7" x14ac:dyDescent="0.45">
      <c r="A20" s="1"/>
      <c r="B20" s="37" t="s">
        <v>124</v>
      </c>
      <c r="C20" s="37"/>
      <c r="D20" s="37"/>
      <c r="E20" s="37"/>
      <c r="F20" s="37"/>
      <c r="G20" s="1"/>
    </row>
    <row r="21" spans="1:7" ht="15" customHeight="1" x14ac:dyDescent="0.45">
      <c r="A21" s="1"/>
      <c r="B21" s="38" t="s">
        <v>36</v>
      </c>
      <c r="C21" s="38"/>
      <c r="D21" s="38"/>
      <c r="E21" s="9">
        <f>'Fane 5. Kontrol af ØR2019'!E42</f>
        <v>137608.02860727254</v>
      </c>
      <c r="F21" s="38" t="s">
        <v>3</v>
      </c>
      <c r="G21" s="1"/>
    </row>
    <row r="22" spans="1:7" x14ac:dyDescent="0.45">
      <c r="A22" s="1"/>
      <c r="B22" s="41" t="s">
        <v>125</v>
      </c>
      <c r="C22" s="38"/>
      <c r="D22" s="38"/>
      <c r="E22" s="9">
        <f>'Fane 5. Kontrol af ØR2019'!E43</f>
        <v>0</v>
      </c>
      <c r="F22" s="38" t="s">
        <v>3</v>
      </c>
      <c r="G22" s="1"/>
    </row>
    <row r="23" spans="1:7" x14ac:dyDescent="0.45">
      <c r="A23" s="1"/>
      <c r="B23" s="37" t="s">
        <v>29</v>
      </c>
      <c r="C23" s="37"/>
      <c r="D23" s="37"/>
      <c r="E23" s="10">
        <f>SUM(E13,E15,E19,E21,E22)</f>
        <v>13410262.754177764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0pTr2UxvZJiCi0ucxmPuzPLBMaXCft0R3Pk5T49g/TlCA+vvJDxjeKMGcteE/7mtvYgE2pidVBVXUbYmB5yKuA==" saltValue="9VWtAN6B92J5swmS7L+OS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45">
      <c r="A8" s="1"/>
      <c r="B8" s="40" t="s">
        <v>92</v>
      </c>
      <c r="C8" s="40"/>
      <c r="D8" s="40"/>
      <c r="E8" s="7">
        <f>'Fane 2.2. Økonomisk ramme 2022'!E13</f>
        <v>9585523.0125854481</v>
      </c>
      <c r="F8" s="40" t="s">
        <v>3</v>
      </c>
      <c r="G8" s="1"/>
    </row>
    <row r="9" spans="1:7" ht="15" customHeight="1" x14ac:dyDescent="0.45">
      <c r="A9" s="1"/>
      <c r="B9" s="40" t="s">
        <v>82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45">
      <c r="A10" s="1"/>
      <c r="B10" s="35" t="s">
        <v>18</v>
      </c>
      <c r="C10" s="40"/>
      <c r="D10" s="40"/>
      <c r="E10" s="8">
        <f>SUM(E8:E9)*'Fane 10. Nøgletal'!C13</f>
        <v>116943.38075354247</v>
      </c>
      <c r="F10" s="40" t="s">
        <v>3</v>
      </c>
      <c r="G10" s="1"/>
    </row>
    <row r="11" spans="1:7" ht="15" customHeight="1" x14ac:dyDescent="0.45">
      <c r="A11" s="1"/>
      <c r="B11" s="35" t="s">
        <v>72</v>
      </c>
      <c r="C11" s="40"/>
      <c r="D11" s="40"/>
      <c r="E11" s="8">
        <f>-SUM(E8:E10)*'Fane 10. Nøgletal'!C18</f>
        <v>-164941.92868676287</v>
      </c>
      <c r="F11" s="40" t="s">
        <v>3</v>
      </c>
      <c r="G11" s="1"/>
    </row>
    <row r="12" spans="1:7" x14ac:dyDescent="0.45">
      <c r="A12" s="1"/>
      <c r="B12" s="36" t="s">
        <v>20</v>
      </c>
      <c r="C12" s="36"/>
      <c r="D12" s="36"/>
      <c r="E12" s="9">
        <f>SUM(E8:E11)</f>
        <v>9537524.4646522291</v>
      </c>
      <c r="F12" s="38" t="s">
        <v>3</v>
      </c>
      <c r="G12" s="1"/>
    </row>
    <row r="13" spans="1:7" x14ac:dyDescent="0.4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45">
      <c r="A14" s="1"/>
      <c r="B14" s="38" t="s">
        <v>12</v>
      </c>
      <c r="C14" s="38"/>
      <c r="D14" s="38"/>
      <c r="E14" s="9">
        <f>'Fane 4. Ikke-påvirkelige omk.'!C14*(1+'Fane 10. Nøgletal'!C13)^2</f>
        <v>3732114.7198834601</v>
      </c>
      <c r="F14" s="38" t="s">
        <v>3</v>
      </c>
      <c r="G14" s="1"/>
    </row>
    <row r="15" spans="1:7" ht="15" customHeight="1" x14ac:dyDescent="0.4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45">
      <c r="A16" s="1"/>
      <c r="B16" s="27" t="s">
        <v>49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45">
      <c r="A17" s="1"/>
      <c r="B17" s="27" t="s">
        <v>50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4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45">
      <c r="A19" s="1"/>
      <c r="B19" s="37" t="s">
        <v>57</v>
      </c>
      <c r="C19" s="37"/>
      <c r="D19" s="37"/>
      <c r="E19" s="10">
        <f>SUM(E12,E14,E18)</f>
        <v>13269639.18453569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ybhAAYVMCq0tZrj09t539WIPYpvJgctD75lFah6H6XBVpu6D/qy1hLO7MVJOVk7fqUMqYO13GeFAgWKojggsZA==" saltValue="/pMVY6IpuLmufqNe3ucpK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45">
      <c r="A8" s="1"/>
      <c r="B8" s="40" t="s">
        <v>94</v>
      </c>
      <c r="C8" s="40"/>
      <c r="D8" s="40"/>
      <c r="E8" s="7">
        <f>'Fane 2.3. Økonomisk ramme 2023'!E12</f>
        <v>9537524.4646522291</v>
      </c>
      <c r="F8" s="40" t="s">
        <v>3</v>
      </c>
      <c r="G8" s="1"/>
    </row>
    <row r="9" spans="1:7" ht="15" customHeight="1" x14ac:dyDescent="0.45">
      <c r="A9" s="1"/>
      <c r="B9" s="40" t="s">
        <v>82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45">
      <c r="A10" s="1"/>
      <c r="B10" s="35" t="s">
        <v>18</v>
      </c>
      <c r="C10" s="40"/>
      <c r="D10" s="40"/>
      <c r="E10" s="8">
        <f>SUM(E8:E9)*'Fane 10. Nøgletal'!C13</f>
        <v>116357.7984687572</v>
      </c>
      <c r="F10" s="40" t="s">
        <v>3</v>
      </c>
      <c r="G10" s="1"/>
    </row>
    <row r="11" spans="1:7" ht="15" customHeight="1" x14ac:dyDescent="0.45">
      <c r="A11" s="1"/>
      <c r="B11" s="35" t="s">
        <v>72</v>
      </c>
      <c r="C11" s="40"/>
      <c r="D11" s="40"/>
      <c r="E11" s="8">
        <f>-SUM(E8:E10)*'Fane 10. Nøgletal'!C18</f>
        <v>-164115.9984730568</v>
      </c>
      <c r="F11" s="40" t="s">
        <v>3</v>
      </c>
      <c r="G11" s="1"/>
    </row>
    <row r="12" spans="1:7" x14ac:dyDescent="0.45">
      <c r="A12" s="1"/>
      <c r="B12" s="36" t="s">
        <v>20</v>
      </c>
      <c r="C12" s="36"/>
      <c r="D12" s="36"/>
      <c r="E12" s="9">
        <f>SUM(E8:E11)</f>
        <v>9489766.264647929</v>
      </c>
      <c r="F12" s="38" t="s">
        <v>3</v>
      </c>
      <c r="G12" s="1"/>
    </row>
    <row r="13" spans="1:7" x14ac:dyDescent="0.4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45">
      <c r="A14" s="1"/>
      <c r="B14" s="38" t="s">
        <v>12</v>
      </c>
      <c r="C14" s="38"/>
      <c r="D14" s="38"/>
      <c r="E14" s="9">
        <f>'Fane 4. Ikke-påvirkelige omk.'!C14*(1+'Fane 10. Nøgletal'!C13)^3</f>
        <v>3777646.5194660383</v>
      </c>
      <c r="F14" s="38" t="s">
        <v>3</v>
      </c>
      <c r="G14" s="1"/>
    </row>
    <row r="15" spans="1:7" ht="15" customHeight="1" x14ac:dyDescent="0.4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45">
      <c r="A16" s="1"/>
      <c r="B16" s="27" t="s">
        <v>49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45">
      <c r="A17" s="1"/>
      <c r="B17" s="27" t="s">
        <v>50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4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45">
      <c r="A19" s="1"/>
      <c r="B19" s="37" t="s">
        <v>95</v>
      </c>
      <c r="C19" s="37"/>
      <c r="D19" s="37"/>
      <c r="E19" s="10">
        <f>SUM(E12,E14,E18)</f>
        <v>13267412.784113968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6HuBpCP6WCqnZnnkAdIAzf+0do4Htg0V1EP3abrn2RHGdZdZ2VtQJU15YMVpv7qaMYO5CXfeialqbuNaVHunmg==" saltValue="mkjbQ3CWX/CEfpWeLfC9/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96</v>
      </c>
      <c r="C3" s="66"/>
      <c r="D3" s="66"/>
      <c r="E3" s="66"/>
      <c r="F3" s="66"/>
      <c r="G3" s="1"/>
    </row>
    <row r="4" spans="1:7" ht="29.2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97</v>
      </c>
      <c r="C8" s="37"/>
      <c r="D8" s="37"/>
      <c r="E8" s="37"/>
      <c r="F8" s="37"/>
      <c r="G8" s="1"/>
    </row>
    <row r="9" spans="1:7" x14ac:dyDescent="0.45">
      <c r="A9" s="1"/>
      <c r="B9" s="67" t="s">
        <v>24</v>
      </c>
      <c r="C9" s="67"/>
      <c r="D9" s="67"/>
      <c r="E9" s="7">
        <v>7685683.6772923656</v>
      </c>
      <c r="F9" s="40" t="s">
        <v>3</v>
      </c>
      <c r="G9" s="1"/>
    </row>
    <row r="10" spans="1:7" x14ac:dyDescent="0.45">
      <c r="A10" s="1"/>
      <c r="B10" s="68" t="s">
        <v>149</v>
      </c>
      <c r="C10" s="68"/>
      <c r="D10" s="68"/>
      <c r="E10" s="7">
        <v>0</v>
      </c>
      <c r="F10" s="40" t="s">
        <v>3</v>
      </c>
      <c r="G10" s="1"/>
    </row>
    <row r="11" spans="1:7" x14ac:dyDescent="0.45">
      <c r="A11" s="1"/>
      <c r="B11" s="68" t="s">
        <v>150</v>
      </c>
      <c r="C11" s="68"/>
      <c r="D11" s="68"/>
      <c r="E11" s="7">
        <v>0</v>
      </c>
      <c r="F11" s="40" t="s">
        <v>3</v>
      </c>
      <c r="G11" s="1"/>
    </row>
    <row r="12" spans="1:7" x14ac:dyDescent="0.45">
      <c r="A12" s="1"/>
      <c r="B12" s="68" t="s">
        <v>80</v>
      </c>
      <c r="C12" s="68"/>
      <c r="D12" s="68"/>
      <c r="E12" s="7">
        <v>176322.09931776</v>
      </c>
      <c r="F12" s="40" t="s">
        <v>3</v>
      </c>
      <c r="G12" s="1"/>
    </row>
    <row r="13" spans="1:7" x14ac:dyDescent="0.45">
      <c r="A13" s="1"/>
      <c r="B13" s="68" t="s">
        <v>81</v>
      </c>
      <c r="C13" s="68"/>
      <c r="D13" s="68"/>
      <c r="E13" s="8">
        <v>0</v>
      </c>
      <c r="F13" s="40" t="s">
        <v>3</v>
      </c>
      <c r="G13" s="1"/>
    </row>
    <row r="14" spans="1:7" x14ac:dyDescent="0.4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101081.72805817291</v>
      </c>
      <c r="F14" s="40" t="s">
        <v>3</v>
      </c>
      <c r="G14" s="1"/>
    </row>
    <row r="15" spans="1:7" x14ac:dyDescent="0.45">
      <c r="A15" s="1"/>
      <c r="B15" s="68" t="s">
        <v>72</v>
      </c>
      <c r="C15" s="68"/>
      <c r="D15" s="68"/>
      <c r="E15" s="8">
        <f>-SUM(E9:E9,E12:E14)*'Fane 10. Nøgletal'!C18</f>
        <v>-135372.4875793611</v>
      </c>
      <c r="F15" s="40" t="s">
        <v>3</v>
      </c>
      <c r="G15" s="1"/>
    </row>
    <row r="16" spans="1:7" x14ac:dyDescent="0.45">
      <c r="A16" s="1"/>
      <c r="B16" s="73" t="s">
        <v>20</v>
      </c>
      <c r="C16" s="73"/>
      <c r="D16" s="73"/>
      <c r="E16" s="9">
        <f>SUM(E9,E12:E15)</f>
        <v>7827715.0170889376</v>
      </c>
      <c r="F16" s="38" t="s">
        <v>3</v>
      </c>
      <c r="G16" s="1"/>
    </row>
    <row r="17" spans="1:7" x14ac:dyDescent="0.45">
      <c r="A17" s="1"/>
      <c r="B17" s="74" t="s">
        <v>12</v>
      </c>
      <c r="C17" s="74"/>
      <c r="D17" s="74"/>
      <c r="E17" s="37"/>
      <c r="F17" s="37"/>
      <c r="G17" s="1"/>
    </row>
    <row r="18" spans="1:7" x14ac:dyDescent="0.45">
      <c r="A18" s="1"/>
      <c r="B18" s="75" t="s">
        <v>12</v>
      </c>
      <c r="C18" s="75"/>
      <c r="D18" s="75"/>
      <c r="E18" s="9">
        <v>5951862.4436379904</v>
      </c>
      <c r="F18" s="38" t="s">
        <v>3</v>
      </c>
      <c r="G18" s="1"/>
    </row>
    <row r="19" spans="1:7" x14ac:dyDescent="0.45">
      <c r="A19" s="1"/>
      <c r="B19" s="37" t="s">
        <v>52</v>
      </c>
      <c r="C19" s="37"/>
      <c r="D19" s="37"/>
      <c r="E19" s="37"/>
      <c r="F19" s="37"/>
      <c r="G19" s="1"/>
    </row>
    <row r="20" spans="1:7" ht="15.4" customHeight="1" x14ac:dyDescent="0.45">
      <c r="A20" s="1"/>
      <c r="B20" s="76" t="s">
        <v>49</v>
      </c>
      <c r="C20" s="77"/>
      <c r="D20" s="78"/>
      <c r="E20" s="31">
        <v>0</v>
      </c>
      <c r="F20" s="31" t="s">
        <v>3</v>
      </c>
      <c r="G20" s="1"/>
    </row>
    <row r="21" spans="1:7" ht="15.75" customHeight="1" x14ac:dyDescent="0.45">
      <c r="A21" s="1"/>
      <c r="B21" s="76" t="s">
        <v>50</v>
      </c>
      <c r="C21" s="77"/>
      <c r="D21" s="78"/>
      <c r="E21" s="31">
        <v>0</v>
      </c>
      <c r="F21" s="31" t="s">
        <v>3</v>
      </c>
      <c r="G21" s="1"/>
    </row>
    <row r="22" spans="1:7" x14ac:dyDescent="0.45">
      <c r="A22" s="1"/>
      <c r="B22" s="79" t="s">
        <v>53</v>
      </c>
      <c r="C22" s="80"/>
      <c r="D22" s="81"/>
      <c r="E22" s="9">
        <v>0</v>
      </c>
      <c r="F22" s="9" t="s">
        <v>3</v>
      </c>
      <c r="G22" s="1"/>
    </row>
    <row r="23" spans="1:7" x14ac:dyDescent="0.45">
      <c r="A23" s="1"/>
      <c r="B23" s="37" t="s">
        <v>145</v>
      </c>
      <c r="C23" s="37"/>
      <c r="D23" s="37"/>
      <c r="E23" s="37"/>
      <c r="F23" s="37"/>
      <c r="G23" s="1"/>
    </row>
    <row r="24" spans="1:7" ht="15.75" customHeight="1" x14ac:dyDescent="0.45">
      <c r="A24" s="1"/>
      <c r="B24" s="69" t="s">
        <v>146</v>
      </c>
      <c r="C24" s="70"/>
      <c r="D24" s="71"/>
      <c r="E24" s="9">
        <v>-528107</v>
      </c>
      <c r="F24" s="9" t="s">
        <v>3</v>
      </c>
      <c r="G24" s="1"/>
    </row>
    <row r="25" spans="1:7" x14ac:dyDescent="0.45">
      <c r="A25" s="1"/>
      <c r="B25" s="37" t="s">
        <v>147</v>
      </c>
      <c r="C25" s="37"/>
      <c r="D25" s="37"/>
      <c r="E25" s="37"/>
      <c r="F25" s="37"/>
      <c r="G25" s="1"/>
    </row>
    <row r="26" spans="1:7" ht="15.4" customHeight="1" x14ac:dyDescent="0.45">
      <c r="A26" s="1"/>
      <c r="B26" s="69" t="s">
        <v>148</v>
      </c>
      <c r="C26" s="70"/>
      <c r="D26" s="71"/>
      <c r="E26" s="9">
        <v>0</v>
      </c>
      <c r="F26" s="38" t="s">
        <v>3</v>
      </c>
      <c r="G26" s="1"/>
    </row>
    <row r="27" spans="1:7" x14ac:dyDescent="0.45">
      <c r="A27" s="1"/>
      <c r="B27" s="37" t="s">
        <v>25</v>
      </c>
      <c r="C27" s="37"/>
      <c r="D27" s="37"/>
      <c r="E27" s="10">
        <f>E16+E18+E22+E24+E26</f>
        <v>13251470.460726928</v>
      </c>
      <c r="F27" s="11" t="s">
        <v>3</v>
      </c>
      <c r="G27" s="1"/>
    </row>
    <row r="28" spans="1:7" ht="28.5" customHeight="1" x14ac:dyDescent="0.45">
      <c r="A28" s="1"/>
      <c r="B28" s="72" t="s">
        <v>98</v>
      </c>
      <c r="C28" s="72"/>
      <c r="D28" s="72"/>
      <c r="E28" s="72"/>
      <c r="F28" s="7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MLArmX/ws91exmRvYCTAHB/yQS0XKue2Nqk8+6XMgDrO+gdPCc9Fn73+6If4m4zXlTtH0GPK5VN5uOOqpAytrQ==" saltValue="WZdHA0Gr4DSqK9dfSS0YF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69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2" t="s">
        <v>99</v>
      </c>
      <c r="C8" s="83"/>
      <c r="D8" s="84"/>
      <c r="E8" s="1"/>
      <c r="F8" s="1"/>
    </row>
    <row r="9" spans="1:6" ht="15" customHeight="1" x14ac:dyDescent="0.45">
      <c r="A9" s="1"/>
      <c r="B9" s="17" t="s">
        <v>32</v>
      </c>
      <c r="C9" s="38" t="s">
        <v>100</v>
      </c>
      <c r="D9" s="38"/>
      <c r="E9" s="1"/>
      <c r="F9" s="1"/>
    </row>
    <row r="10" spans="1:6" x14ac:dyDescent="0.45">
      <c r="A10" s="1"/>
      <c r="B10" s="26" t="s">
        <v>153</v>
      </c>
      <c r="C10" s="8">
        <v>3475778</v>
      </c>
      <c r="D10" s="12" t="s">
        <v>3</v>
      </c>
      <c r="E10" s="1"/>
      <c r="F10" s="1"/>
    </row>
    <row r="11" spans="1:6" x14ac:dyDescent="0.45">
      <c r="A11" s="1"/>
      <c r="B11" s="26" t="s">
        <v>154</v>
      </c>
      <c r="C11" s="8">
        <v>12722</v>
      </c>
      <c r="D11" s="12" t="s">
        <v>3</v>
      </c>
      <c r="E11" s="1"/>
      <c r="F11" s="1"/>
    </row>
    <row r="12" spans="1:6" x14ac:dyDescent="0.45">
      <c r="A12" s="1"/>
      <c r="B12" s="46" t="s">
        <v>178</v>
      </c>
      <c r="C12" s="8">
        <v>66909.700329980129</v>
      </c>
      <c r="D12" s="12" t="s">
        <v>3</v>
      </c>
      <c r="E12" s="1"/>
      <c r="F12" s="1"/>
    </row>
    <row r="13" spans="1:6" x14ac:dyDescent="0.45">
      <c r="A13" s="1"/>
      <c r="B13" s="44" t="s">
        <v>101</v>
      </c>
      <c r="C13" s="10">
        <f>SUM(C10:C12)</f>
        <v>3555409.7003299803</v>
      </c>
      <c r="D13" s="11" t="s">
        <v>3</v>
      </c>
      <c r="E13" s="1"/>
      <c r="F13" s="1"/>
    </row>
    <row r="14" spans="1:6" x14ac:dyDescent="0.45">
      <c r="A14" s="1"/>
      <c r="B14" s="44" t="s">
        <v>102</v>
      </c>
      <c r="C14" s="10">
        <f>C13*(1+'Fane 10. Nøgletal'!C13)^2</f>
        <v>3642690.8841978288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S4HGkFErxT0x8nLyLakatkqXaEYHOID7jdYdXui5mgmf29LAYy9YIPPR32/izdFgxDK7O3xM+h2KL42hPZH6Jg==" saltValue="3LDhcq0c+hTnDukFFV/wx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6" t="s">
        <v>116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ht="15" customHeight="1" x14ac:dyDescent="0.45">
      <c r="A5" s="1"/>
      <c r="B5" s="39"/>
      <c r="C5" s="39"/>
      <c r="D5" s="39"/>
      <c r="E5" s="39"/>
      <c r="F5" s="39"/>
      <c r="G5" s="1"/>
    </row>
    <row r="6" spans="1:7" ht="15" customHeight="1" x14ac:dyDescent="0.4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45">
      <c r="A7" s="1"/>
      <c r="B7" s="91" t="s">
        <v>34</v>
      </c>
      <c r="C7" s="91"/>
      <c r="D7" s="91"/>
      <c r="E7" s="8">
        <v>-833732.38666666672</v>
      </c>
      <c r="F7" s="12" t="s">
        <v>3</v>
      </c>
      <c r="G7" s="1"/>
    </row>
    <row r="8" spans="1:7" ht="15" customHeight="1" x14ac:dyDescent="0.45">
      <c r="A8" s="1"/>
      <c r="B8" s="91" t="s">
        <v>35</v>
      </c>
      <c r="C8" s="91"/>
      <c r="D8" s="91"/>
      <c r="E8" s="8">
        <v>1108948.4438812118</v>
      </c>
      <c r="F8" s="12" t="s">
        <v>3</v>
      </c>
      <c r="G8" s="1"/>
    </row>
    <row r="9" spans="1:7" ht="15" customHeight="1" x14ac:dyDescent="0.45">
      <c r="A9" s="1"/>
      <c r="B9" s="79" t="s">
        <v>76</v>
      </c>
      <c r="C9" s="80"/>
      <c r="D9" s="81"/>
      <c r="E9" s="9">
        <f>SUM(E7:E8)</f>
        <v>275216.05721454509</v>
      </c>
      <c r="F9" s="15" t="s">
        <v>3</v>
      </c>
      <c r="G9" s="1"/>
    </row>
    <row r="10" spans="1:7" ht="15" customHeight="1" x14ac:dyDescent="0.45">
      <c r="A10" s="1"/>
      <c r="B10" s="82"/>
      <c r="C10" s="83"/>
      <c r="D10" s="83"/>
      <c r="E10" s="83"/>
      <c r="F10" s="84"/>
      <c r="G10" s="1"/>
    </row>
    <row r="11" spans="1:7" ht="27" customHeight="1" x14ac:dyDescent="0.45">
      <c r="A11" s="1"/>
      <c r="B11" s="72" t="s">
        <v>71</v>
      </c>
      <c r="C11" s="72"/>
      <c r="D11" s="72"/>
      <c r="E11" s="72"/>
      <c r="F11" s="72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5" t="s">
        <v>62</v>
      </c>
      <c r="C14" s="85"/>
      <c r="D14" s="85"/>
      <c r="E14" s="85"/>
      <c r="F14" s="85"/>
      <c r="G14" s="1"/>
    </row>
    <row r="15" spans="1:7" x14ac:dyDescent="0.45">
      <c r="A15" s="1"/>
      <c r="B15" s="91" t="s">
        <v>63</v>
      </c>
      <c r="C15" s="91"/>
      <c r="D15" s="91"/>
      <c r="E15" s="8">
        <v>11900521.405999999</v>
      </c>
      <c r="F15" s="12" t="s">
        <v>3</v>
      </c>
      <c r="G15" s="1"/>
    </row>
    <row r="16" spans="1:7" x14ac:dyDescent="0.45">
      <c r="A16" s="1"/>
      <c r="B16" s="91" t="s">
        <v>64</v>
      </c>
      <c r="C16" s="91"/>
      <c r="D16" s="91"/>
      <c r="E16" s="8">
        <v>10153286</v>
      </c>
      <c r="F16" s="12" t="s">
        <v>3</v>
      </c>
      <c r="G16" s="1"/>
    </row>
    <row r="17" spans="1:7" x14ac:dyDescent="0.45">
      <c r="A17" s="1"/>
      <c r="B17" s="91" t="s">
        <v>33</v>
      </c>
      <c r="C17" s="91"/>
      <c r="D17" s="91"/>
      <c r="E17" s="8">
        <v>0</v>
      </c>
      <c r="F17" s="12" t="s">
        <v>3</v>
      </c>
      <c r="G17" s="1"/>
    </row>
    <row r="18" spans="1:7" x14ac:dyDescent="0.45">
      <c r="A18" s="1"/>
      <c r="B18" s="86" t="s">
        <v>136</v>
      </c>
      <c r="C18" s="86"/>
      <c r="D18" s="86"/>
      <c r="E18" s="9">
        <f>E15-(E16-E17)</f>
        <v>1747235.4059999995</v>
      </c>
      <c r="F18" s="15" t="s">
        <v>3</v>
      </c>
      <c r="G18" s="1"/>
    </row>
    <row r="19" spans="1:7" x14ac:dyDescent="0.45">
      <c r="A19" s="1"/>
      <c r="B19" s="88"/>
      <c r="C19" s="89"/>
      <c r="D19" s="89"/>
      <c r="E19" s="89"/>
      <c r="F19" s="90"/>
      <c r="G19" s="1"/>
    </row>
    <row r="20" spans="1:7" ht="28.5" customHeight="1" x14ac:dyDescent="0.45">
      <c r="A20" s="1"/>
      <c r="B20" s="72" t="s">
        <v>70</v>
      </c>
      <c r="C20" s="72"/>
      <c r="D20" s="72"/>
      <c r="E20" s="72"/>
      <c r="F20" s="72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45">
      <c r="A23" s="1"/>
      <c r="B23" s="91" t="s">
        <v>45</v>
      </c>
      <c r="C23" s="91"/>
      <c r="D23" s="91"/>
      <c r="E23" s="8">
        <v>10916868.910288338</v>
      </c>
      <c r="F23" s="12" t="s">
        <v>3</v>
      </c>
      <c r="G23" s="1"/>
    </row>
    <row r="24" spans="1:7" ht="15" customHeight="1" x14ac:dyDescent="0.45">
      <c r="A24" s="1"/>
      <c r="B24" s="91" t="s">
        <v>46</v>
      </c>
      <c r="C24" s="91"/>
      <c r="D24" s="91"/>
      <c r="E24" s="8">
        <v>10456834</v>
      </c>
      <c r="F24" s="12" t="s">
        <v>3</v>
      </c>
      <c r="G24" s="1"/>
    </row>
    <row r="25" spans="1:7" ht="15" customHeight="1" x14ac:dyDescent="0.45">
      <c r="A25" s="1"/>
      <c r="B25" s="91" t="s">
        <v>33</v>
      </c>
      <c r="C25" s="91"/>
      <c r="D25" s="91"/>
      <c r="E25" s="8">
        <v>0</v>
      </c>
      <c r="F25" s="12" t="s">
        <v>3</v>
      </c>
      <c r="G25" s="1"/>
    </row>
    <row r="26" spans="1:7" x14ac:dyDescent="0.45">
      <c r="A26" s="1"/>
      <c r="B26" s="86" t="s">
        <v>137</v>
      </c>
      <c r="C26" s="86"/>
      <c r="D26" s="86"/>
      <c r="E26" s="9">
        <f>E23-(E24-E25)</f>
        <v>460034.91028833762</v>
      </c>
      <c r="F26" s="15" t="s">
        <v>3</v>
      </c>
      <c r="G26" s="1"/>
    </row>
    <row r="27" spans="1:7" x14ac:dyDescent="0.45">
      <c r="A27" s="1"/>
      <c r="B27" s="82"/>
      <c r="C27" s="83"/>
      <c r="D27" s="83"/>
      <c r="E27" s="83"/>
      <c r="F27" s="84"/>
      <c r="G27" s="1"/>
    </row>
    <row r="28" spans="1:7" ht="28.5" customHeight="1" x14ac:dyDescent="0.45">
      <c r="A28" s="1"/>
      <c r="B28" s="72" t="s">
        <v>126</v>
      </c>
      <c r="C28" s="72"/>
      <c r="D28" s="72"/>
      <c r="E28" s="72"/>
      <c r="F28" s="72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5" t="s">
        <v>127</v>
      </c>
      <c r="C30" s="85"/>
      <c r="D30" s="85"/>
      <c r="E30" s="85"/>
      <c r="F30" s="85"/>
      <c r="G30" s="1"/>
    </row>
    <row r="31" spans="1:7" x14ac:dyDescent="0.45">
      <c r="A31" s="1"/>
      <c r="B31" s="91" t="s">
        <v>128</v>
      </c>
      <c r="C31" s="91"/>
      <c r="D31" s="91"/>
      <c r="E31" s="8">
        <v>10907862.139957078</v>
      </c>
      <c r="F31" s="12" t="s">
        <v>3</v>
      </c>
      <c r="G31" s="1"/>
    </row>
    <row r="32" spans="1:7" x14ac:dyDescent="0.45">
      <c r="A32" s="1"/>
      <c r="B32" s="91" t="s">
        <v>129</v>
      </c>
      <c r="C32" s="91"/>
      <c r="D32" s="91"/>
      <c r="E32" s="8">
        <v>10425980</v>
      </c>
      <c r="F32" s="12" t="s">
        <v>3</v>
      </c>
      <c r="G32" s="1"/>
    </row>
    <row r="33" spans="1:7" x14ac:dyDescent="0.45">
      <c r="A33" s="1"/>
      <c r="B33" s="91" t="s">
        <v>33</v>
      </c>
      <c r="C33" s="91"/>
      <c r="D33" s="91"/>
      <c r="E33" s="8">
        <v>0</v>
      </c>
      <c r="F33" s="12" t="s">
        <v>3</v>
      </c>
      <c r="G33" s="1"/>
    </row>
    <row r="34" spans="1:7" x14ac:dyDescent="0.45">
      <c r="A34" s="1"/>
      <c r="B34" s="86" t="s">
        <v>138</v>
      </c>
      <c r="C34" s="86"/>
      <c r="D34" s="86"/>
      <c r="E34" s="9">
        <f>E31-(E32-E33)</f>
        <v>481882.1399570778</v>
      </c>
      <c r="F34" s="15" t="s">
        <v>3</v>
      </c>
      <c r="G34" s="1"/>
    </row>
    <row r="35" spans="1:7" x14ac:dyDescent="0.45">
      <c r="A35" s="1"/>
      <c r="B35" s="82"/>
      <c r="C35" s="83"/>
      <c r="D35" s="83"/>
      <c r="E35" s="83"/>
      <c r="F35" s="84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5" t="s">
        <v>130</v>
      </c>
      <c r="C38" s="85"/>
      <c r="D38" s="85"/>
      <c r="E38" s="85"/>
      <c r="F38" s="85"/>
      <c r="G38" s="1"/>
    </row>
    <row r="39" spans="1:7" x14ac:dyDescent="0.45">
      <c r="A39" s="1"/>
      <c r="B39" s="87" t="s">
        <v>36</v>
      </c>
      <c r="C39" s="87"/>
      <c r="D39" s="87"/>
      <c r="E39" s="8">
        <f>E9</f>
        <v>275216.05721454509</v>
      </c>
      <c r="F39" s="12" t="s">
        <v>3</v>
      </c>
      <c r="G39" s="1"/>
    </row>
    <row r="40" spans="1:7" x14ac:dyDescent="0.45">
      <c r="A40" s="1"/>
      <c r="B40" s="87" t="s">
        <v>135</v>
      </c>
      <c r="C40" s="87"/>
      <c r="D40" s="87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7" t="s">
        <v>73</v>
      </c>
      <c r="C41" s="87"/>
      <c r="D41" s="87"/>
      <c r="E41" s="8">
        <v>2</v>
      </c>
      <c r="F41" s="12" t="s">
        <v>19</v>
      </c>
      <c r="G41" s="1"/>
    </row>
    <row r="42" spans="1:7" x14ac:dyDescent="0.45">
      <c r="A42" s="1"/>
      <c r="B42" s="86" t="s">
        <v>133</v>
      </c>
      <c r="C42" s="86"/>
      <c r="D42" s="86"/>
      <c r="E42" s="9">
        <f>SUM(E39)/E41</f>
        <v>137608.02860727254</v>
      </c>
      <c r="F42" s="15" t="s">
        <v>3</v>
      </c>
      <c r="G42" s="1"/>
    </row>
    <row r="43" spans="1:7" x14ac:dyDescent="0.4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45">
      <c r="A44" s="1"/>
      <c r="B44" s="85"/>
      <c r="C44" s="85"/>
      <c r="D44" s="85"/>
      <c r="E44" s="85"/>
      <c r="F44" s="85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ewf4rnBKXthttmjVwyrlCILu6LHy+uw9YHfCRGygDFh676WHkg0FzfhntxEi6QnD0UuusvtWs4Uw9cdwLTMjpQ==" saltValue="93axMsZo8YJUqOb97cmXA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8" t="s">
        <v>2</v>
      </c>
      <c r="F9" s="38" t="s">
        <v>11</v>
      </c>
      <c r="G9" s="38" t="s">
        <v>30</v>
      </c>
      <c r="H9" s="43"/>
      <c r="I9" s="1"/>
    </row>
    <row r="10" spans="1:9" ht="39.75" x14ac:dyDescent="0.45">
      <c r="A10" s="1"/>
      <c r="B10" s="47" t="s">
        <v>156</v>
      </c>
      <c r="C10" s="48" t="s">
        <v>157</v>
      </c>
      <c r="D10" s="8">
        <v>612026.5</v>
      </c>
      <c r="E10" s="8">
        <f>IFERROR(D10/C10,0)</f>
        <v>20400.883333333335</v>
      </c>
      <c r="F10" s="8">
        <v>0</v>
      </c>
      <c r="G10" s="8">
        <v>15484.27</v>
      </c>
      <c r="H10" s="12" t="s">
        <v>3</v>
      </c>
      <c r="I10" s="1"/>
    </row>
    <row r="11" spans="1:9" ht="39.75" x14ac:dyDescent="0.45">
      <c r="A11" s="1"/>
      <c r="B11" s="47" t="s">
        <v>158</v>
      </c>
      <c r="C11" s="48" t="s">
        <v>157</v>
      </c>
      <c r="D11" s="8">
        <v>1543381.85</v>
      </c>
      <c r="E11" s="8">
        <f t="shared" ref="E11:E22" si="0">IFERROR(D11/C11,0)</f>
        <v>51446.061666666668</v>
      </c>
      <c r="F11" s="8">
        <v>0</v>
      </c>
      <c r="G11" s="8">
        <v>39047.56</v>
      </c>
      <c r="H11" s="12" t="s">
        <v>3</v>
      </c>
      <c r="I11" s="1"/>
    </row>
    <row r="12" spans="1:9" ht="26.65" x14ac:dyDescent="0.45">
      <c r="A12" s="1"/>
      <c r="B12" s="47" t="s">
        <v>159</v>
      </c>
      <c r="C12" s="48" t="s">
        <v>160</v>
      </c>
      <c r="D12" s="8">
        <v>164824.25</v>
      </c>
      <c r="E12" s="8">
        <f t="shared" si="0"/>
        <v>6592.97</v>
      </c>
      <c r="F12" s="8">
        <v>0</v>
      </c>
      <c r="G12" s="8">
        <v>4170.05</v>
      </c>
      <c r="H12" s="12" t="s">
        <v>3</v>
      </c>
      <c r="I12" s="1"/>
    </row>
    <row r="13" spans="1:9" ht="26.65" x14ac:dyDescent="0.45">
      <c r="A13" s="1"/>
      <c r="B13" s="47" t="s">
        <v>161</v>
      </c>
      <c r="C13" s="48" t="s">
        <v>160</v>
      </c>
      <c r="D13" s="8">
        <v>6464052.7400000002</v>
      </c>
      <c r="E13" s="8">
        <f t="shared" si="0"/>
        <v>258562.1096</v>
      </c>
      <c r="F13" s="8">
        <v>0</v>
      </c>
      <c r="G13" s="8">
        <v>163540.53</v>
      </c>
      <c r="H13" s="12" t="s">
        <v>3</v>
      </c>
      <c r="I13" s="1"/>
    </row>
    <row r="14" spans="1:9" x14ac:dyDescent="0.45">
      <c r="A14" s="1"/>
      <c r="B14" s="47" t="s">
        <v>162</v>
      </c>
      <c r="C14" s="48" t="s">
        <v>163</v>
      </c>
      <c r="D14" s="8">
        <v>3399577.82</v>
      </c>
      <c r="E14" s="8">
        <f t="shared" si="0"/>
        <v>67991.556400000001</v>
      </c>
      <c r="F14" s="8">
        <v>0</v>
      </c>
      <c r="G14" s="8">
        <v>86009.32</v>
      </c>
      <c r="H14" s="12" t="s">
        <v>3</v>
      </c>
      <c r="I14" s="1"/>
    </row>
    <row r="15" spans="1:9" ht="39.75" x14ac:dyDescent="0.45">
      <c r="A15" s="1"/>
      <c r="B15" s="47" t="s">
        <v>164</v>
      </c>
      <c r="C15" s="48" t="s">
        <v>160</v>
      </c>
      <c r="D15" s="8">
        <v>1081414.83</v>
      </c>
      <c r="E15" s="8">
        <f t="shared" si="0"/>
        <v>43256.593200000003</v>
      </c>
      <c r="F15" s="8">
        <v>0</v>
      </c>
      <c r="G15" s="8">
        <v>27359.8</v>
      </c>
      <c r="H15" s="12" t="s">
        <v>3</v>
      </c>
      <c r="I15" s="1"/>
    </row>
    <row r="16" spans="1:9" ht="26.65" x14ac:dyDescent="0.45">
      <c r="A16" s="1"/>
      <c r="B16" s="47" t="s">
        <v>165</v>
      </c>
      <c r="C16" s="48" t="s">
        <v>160</v>
      </c>
      <c r="D16" s="8">
        <v>813314.63</v>
      </c>
      <c r="E16" s="8">
        <f t="shared" si="0"/>
        <v>32532.585200000001</v>
      </c>
      <c r="F16" s="8">
        <v>0</v>
      </c>
      <c r="G16" s="8">
        <v>20576.86</v>
      </c>
      <c r="H16" s="12" t="s">
        <v>3</v>
      </c>
      <c r="I16" s="1"/>
    </row>
    <row r="17" spans="1:9" ht="39.75" x14ac:dyDescent="0.45">
      <c r="A17" s="1"/>
      <c r="B17" s="47" t="s">
        <v>166</v>
      </c>
      <c r="C17" s="48" t="s">
        <v>163</v>
      </c>
      <c r="D17" s="8">
        <v>2816025.04</v>
      </c>
      <c r="E17" s="8">
        <f t="shared" si="0"/>
        <v>56320.500800000002</v>
      </c>
      <c r="F17" s="8">
        <v>0</v>
      </c>
      <c r="G17" s="8">
        <v>71245.429999999993</v>
      </c>
      <c r="H17" s="12" t="s">
        <v>3</v>
      </c>
      <c r="I17" s="1"/>
    </row>
    <row r="18" spans="1:9" x14ac:dyDescent="0.45">
      <c r="A18" s="1"/>
      <c r="B18" s="47" t="s">
        <v>167</v>
      </c>
      <c r="C18" s="48" t="s">
        <v>160</v>
      </c>
      <c r="D18" s="8">
        <v>2966274.42</v>
      </c>
      <c r="E18" s="8">
        <f t="shared" si="0"/>
        <v>118650.9768</v>
      </c>
      <c r="F18" s="8">
        <v>0</v>
      </c>
      <c r="G18" s="8">
        <v>75046.740000000005</v>
      </c>
      <c r="H18" s="12" t="s">
        <v>3</v>
      </c>
      <c r="I18" s="1"/>
    </row>
    <row r="19" spans="1:9" x14ac:dyDescent="0.45">
      <c r="A19" s="1"/>
      <c r="B19" s="47" t="s">
        <v>168</v>
      </c>
      <c r="C19" s="48" t="s">
        <v>169</v>
      </c>
      <c r="D19" s="8">
        <v>1527406.85</v>
      </c>
      <c r="E19" s="8">
        <f t="shared" si="0"/>
        <v>152740.685</v>
      </c>
      <c r="F19" s="8">
        <v>0</v>
      </c>
      <c r="G19" s="8">
        <v>38643.39</v>
      </c>
      <c r="H19" s="12" t="s">
        <v>3</v>
      </c>
      <c r="I19" s="1"/>
    </row>
    <row r="20" spans="1:9" ht="26.65" x14ac:dyDescent="0.45">
      <c r="A20" s="1"/>
      <c r="B20" s="47" t="s">
        <v>170</v>
      </c>
      <c r="C20" s="48" t="s">
        <v>171</v>
      </c>
      <c r="D20" s="8">
        <v>327057.82</v>
      </c>
      <c r="E20" s="8">
        <f t="shared" si="0"/>
        <v>4360.7709333333332</v>
      </c>
      <c r="F20" s="8">
        <v>0</v>
      </c>
      <c r="G20" s="8">
        <v>8274.56</v>
      </c>
      <c r="H20" s="12" t="s">
        <v>3</v>
      </c>
      <c r="I20" s="1"/>
    </row>
    <row r="21" spans="1:9" ht="26.65" x14ac:dyDescent="0.45">
      <c r="A21" s="1"/>
      <c r="B21" s="47" t="s">
        <v>172</v>
      </c>
      <c r="C21" s="48" t="s">
        <v>171</v>
      </c>
      <c r="D21" s="8">
        <v>8822255.6300000008</v>
      </c>
      <c r="E21" s="8">
        <f t="shared" si="0"/>
        <v>117630.07506666667</v>
      </c>
      <c r="F21" s="8">
        <v>0</v>
      </c>
      <c r="G21" s="8">
        <v>223203.07</v>
      </c>
      <c r="H21" s="12" t="s">
        <v>3</v>
      </c>
      <c r="I21" s="1"/>
    </row>
    <row r="22" spans="1:9" x14ac:dyDescent="0.45">
      <c r="A22" s="1"/>
      <c r="B22" s="47" t="s">
        <v>173</v>
      </c>
      <c r="C22" s="48" t="s">
        <v>171</v>
      </c>
      <c r="D22" s="8">
        <v>11163.81</v>
      </c>
      <c r="E22" s="8">
        <f t="shared" si="0"/>
        <v>148.85079999999999</v>
      </c>
      <c r="F22" s="8">
        <v>0</v>
      </c>
      <c r="G22" s="8">
        <v>282.44</v>
      </c>
      <c r="H22" s="12" t="s">
        <v>3</v>
      </c>
      <c r="I22" s="1"/>
    </row>
    <row r="23" spans="1:9" ht="26.65" x14ac:dyDescent="0.45">
      <c r="A23" s="1"/>
      <c r="B23" s="47" t="s">
        <v>174</v>
      </c>
      <c r="C23" s="48" t="s">
        <v>171</v>
      </c>
      <c r="D23" s="8">
        <v>340889.12</v>
      </c>
      <c r="E23" s="8">
        <f t="shared" ref="E23:E24" si="1">IFERROR(D23/C23,0)</f>
        <v>4545.188266666667</v>
      </c>
      <c r="F23" s="8">
        <v>0</v>
      </c>
      <c r="G23" s="8">
        <v>8624.49</v>
      </c>
      <c r="H23" s="12" t="s">
        <v>3</v>
      </c>
      <c r="I23" s="1"/>
    </row>
    <row r="24" spans="1:9" ht="26.65" x14ac:dyDescent="0.45">
      <c r="A24" s="1"/>
      <c r="B24" s="47" t="s">
        <v>172</v>
      </c>
      <c r="C24" s="48" t="s">
        <v>171</v>
      </c>
      <c r="D24" s="8">
        <v>6599497.7300000004</v>
      </c>
      <c r="E24" s="8">
        <f t="shared" si="1"/>
        <v>87993.303066666675</v>
      </c>
      <c r="F24" s="8">
        <v>0</v>
      </c>
      <c r="G24" s="8">
        <v>166967.29</v>
      </c>
      <c r="H24" s="12" t="s">
        <v>3</v>
      </c>
      <c r="I24" s="1"/>
    </row>
    <row r="25" spans="1:9" x14ac:dyDescent="0.45">
      <c r="A25" s="1"/>
      <c r="B25" s="82" t="s">
        <v>118</v>
      </c>
      <c r="C25" s="83"/>
      <c r="D25" s="84"/>
      <c r="E25" s="10">
        <f>SUM(E10:E24)</f>
        <v>1023173.1101333335</v>
      </c>
      <c r="F25" s="10">
        <f>SUM(F10:F24)</f>
        <v>0</v>
      </c>
      <c r="G25" s="10">
        <f>SUM(G10:G24)</f>
        <v>948475.8</v>
      </c>
      <c r="H25" s="11" t="s">
        <v>3</v>
      </c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30"/>
      <c r="B37" s="30"/>
      <c r="C37" s="30"/>
      <c r="D37" s="30"/>
      <c r="E37" s="30"/>
      <c r="F37" s="30"/>
      <c r="G37" s="30"/>
      <c r="H37" s="30"/>
      <c r="I37" s="30"/>
    </row>
    <row r="38" spans="1:9" x14ac:dyDescent="0.45">
      <c r="A38" s="30"/>
      <c r="B38" s="30"/>
      <c r="C38" s="30"/>
      <c r="D38" s="30"/>
      <c r="E38" s="30"/>
      <c r="F38" s="30"/>
      <c r="G38" s="30"/>
      <c r="H38" s="30"/>
      <c r="I38" s="30"/>
    </row>
    <row r="39" spans="1:9" x14ac:dyDescent="0.45">
      <c r="A39" s="30"/>
      <c r="B39" s="30"/>
      <c r="C39" s="30"/>
      <c r="D39" s="30"/>
      <c r="E39" s="30"/>
      <c r="F39" s="30"/>
      <c r="G39" s="30"/>
      <c r="H39" s="30"/>
      <c r="I39" s="30"/>
    </row>
    <row r="40" spans="1:9" x14ac:dyDescent="0.45">
      <c r="A40" s="30"/>
      <c r="B40" s="30"/>
      <c r="C40" s="30"/>
      <c r="D40" s="30"/>
      <c r="E40" s="30"/>
      <c r="F40" s="30"/>
      <c r="G40" s="30"/>
      <c r="H40" s="30"/>
      <c r="I40" s="30"/>
    </row>
    <row r="41" spans="1:9" x14ac:dyDescent="0.45">
      <c r="A41" s="30"/>
      <c r="B41" s="30"/>
      <c r="C41" s="30"/>
      <c r="D41" s="30"/>
      <c r="E41" s="30"/>
      <c r="F41" s="30"/>
      <c r="G41" s="30"/>
      <c r="H41" s="30"/>
      <c r="I41" s="30"/>
    </row>
    <row r="42" spans="1:9" x14ac:dyDescent="0.45">
      <c r="A42" s="30"/>
      <c r="B42" s="30"/>
      <c r="C42" s="30"/>
      <c r="D42" s="30"/>
      <c r="E42" s="30"/>
      <c r="F42" s="30"/>
      <c r="G42" s="30"/>
      <c r="H42" s="30"/>
      <c r="I42" s="30"/>
    </row>
    <row r="43" spans="1:9" x14ac:dyDescent="0.45">
      <c r="A43" s="30"/>
      <c r="B43" s="30"/>
      <c r="C43" s="30"/>
      <c r="D43" s="30"/>
      <c r="E43" s="30"/>
      <c r="F43" s="30"/>
      <c r="G43" s="30"/>
      <c r="H43" s="30"/>
      <c r="I43" s="30"/>
    </row>
    <row r="44" spans="1:9" x14ac:dyDescent="0.45">
      <c r="A44" s="30"/>
      <c r="B44" s="30"/>
      <c r="C44" s="30"/>
      <c r="D44" s="30"/>
      <c r="E44" s="30"/>
      <c r="F44" s="30"/>
      <c r="G44" s="30"/>
      <c r="H44" s="30"/>
      <c r="I44" s="30"/>
    </row>
    <row r="45" spans="1:9" x14ac:dyDescent="0.45">
      <c r="A45" s="30"/>
      <c r="B45" s="30"/>
      <c r="C45" s="30"/>
      <c r="D45" s="30"/>
      <c r="E45" s="30"/>
      <c r="F45" s="30"/>
      <c r="G45" s="30"/>
      <c r="H45" s="30"/>
      <c r="I45" s="30"/>
    </row>
    <row r="46" spans="1:9" x14ac:dyDescent="0.45">
      <c r="A46" s="30"/>
      <c r="B46" s="30"/>
      <c r="C46" s="30"/>
      <c r="D46" s="30"/>
      <c r="E46" s="30"/>
      <c r="F46" s="30"/>
      <c r="G46" s="30"/>
      <c r="H46" s="30"/>
      <c r="I46" s="30"/>
    </row>
    <row r="47" spans="1:9" x14ac:dyDescent="0.45">
      <c r="A47" s="30"/>
      <c r="B47" s="30"/>
      <c r="C47" s="30"/>
      <c r="D47" s="30"/>
      <c r="E47" s="30"/>
      <c r="F47" s="30"/>
      <c r="G47" s="30"/>
      <c r="H47" s="30"/>
      <c r="I47" s="30"/>
    </row>
    <row r="48" spans="1:9" x14ac:dyDescent="0.45">
      <c r="A48" s="30"/>
      <c r="B48" s="30"/>
      <c r="C48" s="30"/>
      <c r="D48" s="30"/>
      <c r="E48" s="30"/>
      <c r="F48" s="30"/>
      <c r="G48" s="30"/>
      <c r="H48" s="30"/>
      <c r="I48" s="30"/>
    </row>
    <row r="49" spans="1:9" x14ac:dyDescent="0.45">
      <c r="A49" s="30"/>
      <c r="B49" s="30"/>
      <c r="C49" s="30"/>
      <c r="D49" s="30"/>
      <c r="E49" s="30"/>
      <c r="F49" s="30"/>
      <c r="G49" s="30"/>
      <c r="H49" s="30"/>
      <c r="I49" s="30"/>
    </row>
    <row r="50" spans="1:9" x14ac:dyDescent="0.45">
      <c r="A50" s="30"/>
      <c r="B50" s="30"/>
      <c r="C50" s="30"/>
      <c r="D50" s="30"/>
      <c r="E50" s="30"/>
      <c r="F50" s="30"/>
      <c r="G50" s="30"/>
      <c r="H50" s="30"/>
      <c r="I50" s="30"/>
    </row>
    <row r="51" spans="1:9" x14ac:dyDescent="0.45">
      <c r="A51" s="30"/>
      <c r="B51" s="30"/>
      <c r="C51" s="30"/>
      <c r="D51" s="30"/>
      <c r="E51" s="30"/>
      <c r="F51" s="30"/>
      <c r="G51" s="30"/>
      <c r="H51" s="30"/>
      <c r="I51" s="30"/>
    </row>
    <row r="52" spans="1:9" x14ac:dyDescent="0.45">
      <c r="A52" s="30"/>
      <c r="B52" s="30"/>
      <c r="C52" s="30"/>
      <c r="D52" s="30"/>
      <c r="E52" s="30"/>
      <c r="F52" s="30"/>
      <c r="G52" s="30"/>
      <c r="H52" s="30"/>
      <c r="I52" s="30"/>
    </row>
    <row r="53" spans="1:9" x14ac:dyDescent="0.45">
      <c r="A53" s="30"/>
      <c r="B53" s="30"/>
      <c r="C53" s="30"/>
      <c r="D53" s="30"/>
      <c r="E53" s="30"/>
      <c r="F53" s="30"/>
      <c r="G53" s="30"/>
      <c r="H53" s="30"/>
      <c r="I53" s="30"/>
    </row>
    <row r="54" spans="1:9" x14ac:dyDescent="0.45">
      <c r="A54" s="30"/>
      <c r="B54" s="30"/>
      <c r="C54" s="30"/>
      <c r="D54" s="30"/>
      <c r="E54" s="30"/>
      <c r="F54" s="30"/>
      <c r="G54" s="30"/>
      <c r="H54" s="30"/>
      <c r="I54" s="30"/>
    </row>
    <row r="55" spans="1:9" x14ac:dyDescent="0.45">
      <c r="A55" s="30"/>
      <c r="B55" s="30"/>
      <c r="C55" s="30"/>
      <c r="D55" s="30"/>
      <c r="E55" s="30"/>
      <c r="F55" s="30"/>
      <c r="G55" s="30"/>
      <c r="H55" s="30"/>
      <c r="I55" s="30"/>
    </row>
    <row r="56" spans="1:9" x14ac:dyDescent="0.45">
      <c r="A56" s="30"/>
      <c r="B56" s="30"/>
      <c r="C56" s="30"/>
      <c r="D56" s="30"/>
      <c r="E56" s="30"/>
      <c r="F56" s="30"/>
      <c r="G56" s="30"/>
      <c r="H56" s="30"/>
      <c r="I56" s="30"/>
    </row>
    <row r="57" spans="1:9" x14ac:dyDescent="0.45">
      <c r="A57" s="30"/>
      <c r="B57" s="30"/>
      <c r="C57" s="30"/>
      <c r="D57" s="30"/>
      <c r="E57" s="30"/>
      <c r="F57" s="30"/>
      <c r="G57" s="30"/>
      <c r="H57" s="30"/>
      <c r="I57" s="30"/>
    </row>
    <row r="58" spans="1:9" x14ac:dyDescent="0.45">
      <c r="A58" s="30"/>
      <c r="B58" s="30"/>
      <c r="C58" s="30"/>
      <c r="D58" s="30"/>
      <c r="E58" s="30"/>
      <c r="F58" s="30"/>
      <c r="G58" s="30"/>
      <c r="H58" s="30"/>
      <c r="I58" s="30"/>
    </row>
    <row r="59" spans="1:9" x14ac:dyDescent="0.45">
      <c r="A59" s="30"/>
      <c r="B59" s="30"/>
      <c r="C59" s="30"/>
      <c r="D59" s="30"/>
      <c r="E59" s="30"/>
      <c r="F59" s="30"/>
      <c r="G59" s="30"/>
      <c r="H59" s="30"/>
      <c r="I59" s="30"/>
    </row>
    <row r="60" spans="1:9" x14ac:dyDescent="0.45">
      <c r="A60" s="30"/>
      <c r="B60" s="30"/>
      <c r="C60" s="30"/>
      <c r="D60" s="30"/>
      <c r="E60" s="30"/>
      <c r="F60" s="30"/>
      <c r="G60" s="30"/>
      <c r="H60" s="30"/>
      <c r="I60" s="30"/>
    </row>
  </sheetData>
  <sheetProtection algorithmName="SHA-512" hashValue="qhpajXtTHUcHnNg6utSLYdkg9thTw3dGUtbkH9a9u4ZvG1FYlZaD6D8mvgxWy9V2ESldsuuxXGnwXFgW3QIaiQ==" saltValue="O4fgVM73jc6TcXY8gZCJGw==" spinCount="100000" sheet="1" objects="1" scenarios="1"/>
  <mergeCells count="3">
    <mergeCell ref="B3:H4"/>
    <mergeCell ref="B25:D25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2020-10-13T08:10:12Z</dcterms:modified>
</cp:coreProperties>
</file>