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Novafos Vand Frederikssund AS (V058)\ØR2027\"/>
    </mc:Choice>
  </mc:AlternateContent>
  <xr:revisionPtr revIDLastSave="0" documentId="13_ncr:1_{E48AEEC3-EFB8-4BD2-A9C2-A5EB811FD29C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10-tillæg'!$B$9:$B$13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C13" i="7" s="1"/>
  <c r="E12" i="8"/>
  <c r="C12" i="7" s="1"/>
  <c r="E11" i="8"/>
  <c r="C11" i="7" s="1"/>
  <c r="E10" i="8"/>
  <c r="C10" i="7" s="1"/>
  <c r="E9" i="8"/>
  <c r="C25" i="7"/>
  <c r="C18" i="3" s="1"/>
  <c r="C16" i="6"/>
  <c r="C16" i="12" l="1"/>
  <c r="C20" i="3" s="1"/>
  <c r="C12" i="11"/>
  <c r="C19" i="3" s="1"/>
  <c r="C12" i="3"/>
  <c r="C13" i="3"/>
  <c r="C9" i="7"/>
  <c r="C20" i="7" s="1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<sst xmlns="http://schemas.openxmlformats.org/spreadsheetml/2006/main" count="338" uniqueCount="159">
  <si>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</si>
  <si>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</si>
  <si>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</si>
  <si>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</si>
  <si>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</si>
  <si>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</si>
  <si>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</si>
  <si>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</si>
  <si>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</si>
  <si>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</si>
  <si>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</si>
  <si>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</si>
  <si>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</si>
  <si>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</si>
  <si>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</si>
  <si>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</si>
  <si>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</si>
  <si>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</si>
  <si>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</si>
  <si>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</si>
  <si>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</si>
  <si>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</si>
  <si>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</si>
  <si>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</si>
  <si>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</si>
  <si>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</si>
  <si>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</si>
  <si>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</si>
  <si>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</si>
  <si>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</si>
  <si>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</si>
  <si>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</si>
  <si>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</si>
  <si>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</si>
  <si>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</si>
  <si>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</si>
  <si>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</si>
  <si>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</si>
  <si>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</si>
  <si>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</si>
  <si>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</si>
  <si>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</si>
  <si>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</si>
  <si>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</si>
  <si>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</si>
  <si>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</si>
  <si>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</si>
  <si>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</si>
  <si>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</si>
  <si>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</si>
  <si>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</si>
  <si>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</si>
  <si>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</si>
  <si>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</si>
  <si>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</si>
  <si>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</si>
  <si>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</si>
  <si>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</si>
  <si>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</si>
  <si>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</si>
  <si>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</si>
  <si>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</si>
  <si>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</si>
  <si>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</si>
  <si>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</si>
  <si>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</si>
  <si>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</si>
  <si>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</si>
  <si>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</si>
  <si>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</si>
  <si>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</si>
  <si>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</si>
  <si>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</si>
  <si>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</si>
  <si>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</si>
  <si>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</si>
  <si>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</si>
  <si>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</si>
  <si>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</si>
  <si>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</si>
  <si>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</si>
  <si>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</si>
  <si>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</si>
  <si>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</si>
  <si>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</si>
  <si>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</si>
  <si>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</si>
  <si>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</si>
  <si>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</si>
  <si>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</si>
  <si>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</si>
  <si>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</si>
  <si>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</si>
  <si>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</si>
  <si>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</si>
  <si>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</si>
  <si>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</si>
  <si>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</si>
  <si>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</si>
  <si>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</si>
  <si>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</si>
  <si>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</si>
  <si>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</si>
  <si>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</si>
  <si>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</si>
  <si>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</si>
  <si>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</si>
  <si>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</si>
  <si>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</si>
  <si>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</si>
  <si>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</si>
  <si>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</si>
  <si>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</si>
  <si>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</si>
  <si>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</si>
  <si>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</si>
  <si>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</si>
  <si>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</si>
  <si>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</si>
  <si>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</si>
  <si>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</si>
  <si>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</si>
  <si>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</si>
  <si>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</si>
  <si>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</si>
  <si>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</si>
  <si>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</si>
  <si>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</si>
  <si>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</si>
  <si>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</si>
  <si>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</si>
  <si>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</si>
  <si>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</si>
  <si>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</si>
  <si>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</si>
  <si>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</si>
  <si>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</si>
  <si>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</si>
  <si>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Ejendomsskatter</t>
  </si>
  <si>
    <t>Tjenestemandspensioner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</si>
  <si>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</si>
  <si>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</si>
  <si>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</si>
  <si>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</si>
  <si>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</si>
  <si>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</si>
  <si>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</si>
  <si>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</si>
  <si>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Køb af ydelser og produkter fra andre vandselskaber reguleret af vandsektorloven</t>
  </si>
  <si>
    <t>Aftaler om dyrkningspraksis 3.978.563 kr./10 = 397.856 kr.</t>
  </si>
  <si>
    <t>Nedsættelse ibm. fjernaflæste målere</t>
  </si>
  <si>
    <t>Afsluttede sager i 2024</t>
  </si>
  <si>
    <t>Ignition</t>
  </si>
  <si>
    <t>Afsluttede sager udvidelser i 2024</t>
  </si>
  <si>
    <t>Vandledning Vinge Boulevard, byudvidelse Solvænget samt stik</t>
  </si>
  <si>
    <t>CSRD</t>
  </si>
  <si>
    <t>Energiledelse</t>
  </si>
  <si>
    <t>Grundvandsbeskyttelse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</si>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</sst>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b5UXX7V22Eg/b0/cgLIrAi5MCmeBouuEu+37calD+z0fJp+gvjjvYXYRfCcfwJuzDSkwB0wjaJH0cyOyRlMqRA==" saltValue="wptySBClNKOhuSmoyWcY9A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27180659.492046956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610175.67331999994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-942406.6901522082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-536968.56950429489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-279381.82090258005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335813.80729402154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26367891.892101895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397856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26765747.892101895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7NwmVBpyze8sqt0UjyHrsmwWRhrLIVVGEN8sdxrmvjWLWG5DM2GE29K8oQ6Ktjq86JrjiWO82ZGfdQ7cddpJWw==" saltValue="yB0C+lkrePW/+IHKlv0yog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82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83</v>
      </c>
      <c r="C8" s="26"/>
      <c r="D8" s="27"/>
      <c r="E8" s="11"/>
    </row>
    <row r="9" spans="1:5" ht="15" customHeight="1" x14ac:dyDescent="0.25">
      <c r="A9" s="11"/>
      <c r="B9" s="44" t="s">
        <v>127</v>
      </c>
      <c r="C9" s="45">
        <v>33757207</v>
      </c>
      <c r="D9" s="46" t="s">
        <v>31</v>
      </c>
      <c r="E9" s="11"/>
    </row>
    <row r="10" spans="1:5" ht="15" customHeight="1" x14ac:dyDescent="0.25">
      <c r="A10" s="11"/>
      <c r="B10" s="44" t="s">
        <v>129</v>
      </c>
      <c r="C10" s="45">
        <f>'3. Omk. i ØR2026'!C10</f>
        <v>1215808.3115119999</v>
      </c>
      <c r="D10" s="46" t="s">
        <v>31</v>
      </c>
      <c r="E10" s="11"/>
    </row>
    <row r="11" spans="1:5" ht="15" customHeight="1" x14ac:dyDescent="0.25">
      <c r="A11" s="11"/>
      <c r="B11" s="44" t="s">
        <v>130</v>
      </c>
      <c r="C11" s="47">
        <f>'5.1. § 10-tillæg'!C20+'5.2. Varige tillæg'!C18+'5.2. Varige tillæg'!E18+'5.3. Engangstillæg'!C13+'5.3. Engangstillæg'!E13</f>
        <v>1288796.4570029001</v>
      </c>
      <c r="D11" s="46" t="s">
        <v>31</v>
      </c>
      <c r="E11" s="11"/>
    </row>
    <row r="12" spans="1:5" ht="15" customHeight="1" x14ac:dyDescent="0.25">
      <c r="A12" s="11"/>
      <c r="B12" s="35" t="s">
        <v>128</v>
      </c>
      <c r="C12" s="36">
        <f>C9+C10+C11</f>
        <v>36261811.768514901</v>
      </c>
      <c r="D12" s="37" t="s">
        <v>31</v>
      </c>
      <c r="E12" s="11"/>
    </row>
    <row r="13" spans="1:5" ht="15" customHeight="1" x14ac:dyDescent="0.25">
      <c r="A13" s="11"/>
      <c r="B13" s="44" t="s">
        <v>84</v>
      </c>
      <c r="C13" s="45">
        <v>35365343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131</v>
      </c>
      <c r="C15" s="41">
        <f>C12-C13</f>
        <v>896468.7685149014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85</v>
      </c>
      <c r="C17" s="26"/>
      <c r="D17" s="27"/>
      <c r="E17" s="11"/>
    </row>
    <row r="18" spans="1:5" ht="15" customHeight="1" x14ac:dyDescent="0.25">
      <c r="A18" s="11"/>
      <c r="B18" s="44" t="s">
        <v>126</v>
      </c>
      <c r="C18" s="45">
        <v>651396</v>
      </c>
      <c r="D18" s="46" t="s">
        <v>31</v>
      </c>
      <c r="E18" s="11"/>
    </row>
    <row r="19" spans="1:5" ht="15" customHeight="1" x14ac:dyDescent="0.25">
      <c r="A19" s="11"/>
      <c r="B19" s="25" t="s">
        <v>141</v>
      </c>
      <c r="C19" s="41">
        <f>C15+C18</f>
        <v>1547864.7685149014</v>
      </c>
      <c r="D19" s="27" t="s">
        <v>31</v>
      </c>
      <c r="E19" s="11"/>
    </row>
    <row r="20" spans="1:5" ht="49.5" customHeight="1" x14ac:dyDescent="0.25">
      <c r="A20" s="11"/>
      <c r="B20" s="49" t="s">
        <v>142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143</v>
      </c>
      <c r="C22" s="26"/>
      <c r="D22" s="27"/>
      <c r="E22" s="11"/>
    </row>
    <row r="23" spans="1:5" ht="27.95" customHeight="1" x14ac:dyDescent="0.25">
      <c r="A23" s="11"/>
      <c r="B23" s="52" t="s">
        <v>144</v>
      </c>
      <c r="C23" s="53">
        <f>100*651396/(30009827+1284242)</f>
        <v>2.0815318071932416</v>
      </c>
      <c r="D23" s="46" t="s">
        <v>145</v>
      </c>
      <c r="E23" s="11"/>
    </row>
    <row r="24" spans="1:5" ht="27.95" customHeight="1" x14ac:dyDescent="0.25">
      <c r="A24" s="11"/>
      <c r="B24" s="52" t="s">
        <v>146</v>
      </c>
      <c r="C24" s="53">
        <f>C19/C12*100</f>
        <v>4.2685808927475275</v>
      </c>
      <c r="D24" s="46" t="s">
        <v>145</v>
      </c>
      <c r="E24" s="11"/>
    </row>
    <row r="25" spans="1:5" ht="56.25" customHeight="1" x14ac:dyDescent="0.25">
      <c r="A25" s="11"/>
      <c r="B25" s="49" t="s">
        <v>147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GmPbB9mJIGZQ79scm77SeN8nH+Xkv7TB1nLRhoM41OMLQMrcdxoRbgr7wBifmz9WgSrJ5b5nyQSjkhv9kJa5UA==" saltValue="mkM4ajXYXOiPwrffaZkyPg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86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134</v>
      </c>
      <c r="C8" s="57"/>
      <c r="D8" s="58"/>
      <c r="E8" s="54"/>
    </row>
    <row r="9" spans="1:5" ht="15" customHeight="1" x14ac:dyDescent="0.25">
      <c r="A9" s="54"/>
      <c r="B9" s="59" t="s">
        <v>121</v>
      </c>
      <c r="C9" s="60">
        <v>25064775.96893505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1215808.3115119999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-525611.68560894101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-264341.91674849327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1690028.8139573415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27180659.492046956</v>
      </c>
      <c r="D17" s="68" t="s">
        <v>31</v>
      </c>
      <c r="E17" s="54"/>
    </row>
    <row r="18" spans="1:5" ht="15" customHeight="1" x14ac:dyDescent="0.25">
      <c r="A18" s="54"/>
      <c r="B18" s="69" t="s">
        <v>122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-1206704.6339877136</v>
      </c>
      <c r="D20" s="74" t="s">
        <v>31</v>
      </c>
      <c r="E20" s="54"/>
    </row>
    <row r="21" spans="1:5" ht="15" customHeight="1" x14ac:dyDescent="0.25">
      <c r="A21" s="54"/>
      <c r="B21" s="59" t="s">
        <v>123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158</v>
      </c>
      <c r="C23" s="75">
        <v>25973954.858059242</v>
      </c>
      <c r="D23" s="58" t="s">
        <v>31</v>
      </c>
      <c r="E23" s="54"/>
    </row>
    <row r="24" spans="1:5" ht="30" customHeight="1" x14ac:dyDescent="0.25">
      <c r="A24" s="54"/>
      <c r="B24" s="76" t="s">
        <v>135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HgNlXgqFtNysIBs34bAnfYcnIxFNpl0k1HialaEY1q7/UenoH5MmzVYqBPg+kFItZ/5dGtb8H5kq1iEtviiWJA==" saltValue="njy5JzzjmbpY/WMhOlsmvw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87</v>
      </c>
      <c r="C8" s="81"/>
      <c r="D8" s="82"/>
      <c r="E8" s="11"/>
    </row>
    <row r="9" spans="1:5" ht="15" customHeight="1" x14ac:dyDescent="0.25">
      <c r="A9" s="11"/>
      <c r="B9" s="52" t="s">
        <v>88</v>
      </c>
      <c r="C9" s="2">
        <v>14093389.29144592</v>
      </c>
      <c r="D9" s="46" t="s">
        <v>31</v>
      </c>
      <c r="E9" s="11"/>
    </row>
    <row r="10" spans="1:5" ht="15" customHeight="1" x14ac:dyDescent="0.25">
      <c r="A10" s="11"/>
      <c r="B10" s="83" t="s">
        <v>89</v>
      </c>
      <c r="C10" s="3">
        <f>-'8. Nøgletal'!C19*C9</f>
        <v>-281867.78582891839</v>
      </c>
      <c r="D10" s="46" t="s">
        <v>31</v>
      </c>
      <c r="E10" s="11"/>
    </row>
    <row r="11" spans="1:5" ht="15" customHeight="1" x14ac:dyDescent="0.25">
      <c r="A11" s="11"/>
      <c r="B11" s="83" t="s">
        <v>90</v>
      </c>
      <c r="C11" s="2">
        <f>('5.2. Varige tillæg'!C18)*(1+'8. Nøgletal'!C9)*(1-'8. Nøgletal'!C19)+'5.6 Anlægsprojekter'!C12-'6. Bortfald'!C12+'7. Tilknyttet virksomhed'!C12</f>
        <v>157569.53951199999</v>
      </c>
      <c r="D11" s="46" t="s">
        <v>31</v>
      </c>
      <c r="E11" s="11"/>
    </row>
    <row r="12" spans="1:5" ht="15" customHeight="1" x14ac:dyDescent="0.25">
      <c r="A12" s="11"/>
      <c r="B12" s="52" t="s">
        <v>91</v>
      </c>
      <c r="C12" s="2">
        <f>SUM(C9:C11)</f>
        <v>13969091.045129001</v>
      </c>
      <c r="D12" s="46" t="s">
        <v>31</v>
      </c>
      <c r="E12" s="11"/>
    </row>
    <row r="13" spans="1:5" ht="15" customHeight="1" x14ac:dyDescent="0.25">
      <c r="A13" s="11"/>
      <c r="B13" s="84" t="s">
        <v>92</v>
      </c>
      <c r="C13" s="85">
        <f>-C12*'8. Nøgletal'!C19</f>
        <v>-279381.82090258005</v>
      </c>
      <c r="D13" s="86" t="s">
        <v>31</v>
      </c>
      <c r="E13" s="87"/>
    </row>
    <row r="14" spans="1:5" ht="15" customHeight="1" x14ac:dyDescent="0.25">
      <c r="A14" s="11"/>
      <c r="B14" s="80" t="s">
        <v>93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16872041.677968912</v>
      </c>
      <c r="D15" s="46" t="s">
        <v>31</v>
      </c>
      <c r="E15" s="11"/>
    </row>
    <row r="16" spans="1:5" ht="15" customHeight="1" x14ac:dyDescent="0.25">
      <c r="A16" s="11"/>
      <c r="B16" s="83" t="s">
        <v>89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94</v>
      </c>
      <c r="C17" s="2">
        <f>('5.2. Varige tillæg'!E18)*(1+'8. Nøgletal'!C9)*(1-'8. Nøgletal'!C14)+'5.6 Anlægsprojekter'!E12-'6. Bortfald'!E12+'7. Tilknyttet virksomhed'!E12</f>
        <v>-477282.36495220818</v>
      </c>
      <c r="D17" s="46" t="s">
        <v>31</v>
      </c>
      <c r="E17" s="11"/>
    </row>
    <row r="18" spans="1:5" ht="15" customHeight="1" x14ac:dyDescent="0.25">
      <c r="A18" s="11"/>
      <c r="B18" s="52" t="s">
        <v>95</v>
      </c>
      <c r="C18" s="2">
        <f>SUM(C15:C17)</f>
        <v>16394759.313016703</v>
      </c>
      <c r="D18" s="46" t="s">
        <v>31</v>
      </c>
      <c r="E18" s="11"/>
    </row>
    <row r="19" spans="1:5" ht="15" customHeight="1" x14ac:dyDescent="0.25">
      <c r="A19" s="11"/>
      <c r="B19" s="84" t="s">
        <v>96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97</v>
      </c>
      <c r="C20" s="41">
        <f>C13+C19</f>
        <v>-279381.82090258005</v>
      </c>
      <c r="D20" s="27" t="s">
        <v>31</v>
      </c>
      <c r="E20" s="11"/>
    </row>
    <row r="21" spans="1:5" ht="39.950000000000003" customHeight="1" x14ac:dyDescent="0.25">
      <c r="A21" s="11"/>
      <c r="B21" s="88" t="s">
        <v>124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bVox74JhngMdynrxlagB/GiHTWUftLS5iZJQrCj0YL9aRBA512DkKp9yVnzHSQ0TgQ4+InFy9ovqJG2bOpYr8Q==" saltValue="FZcdECjzbFldTGSTFd13Gg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98</v>
      </c>
      <c r="C8" s="92"/>
      <c r="D8" s="93"/>
      <c r="E8" s="11"/>
    </row>
    <row r="9" spans="1:5" ht="15" customHeight="1" x14ac:dyDescent="0.25">
      <c r="A9" s="11"/>
      <c r="B9" s="94" t="s">
        <v>136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137</v>
      </c>
      <c r="C10" s="33">
        <f>'5.1.a. § 10-tillæg'!E10</f>
        <v>6189.4570029000024</v>
      </c>
      <c r="D10" s="46" t="s">
        <v>31</v>
      </c>
      <c r="E10" s="11"/>
    </row>
    <row r="11" spans="1:5" ht="15" customHeight="1" x14ac:dyDescent="0.25">
      <c r="A11" s="11"/>
      <c r="B11" s="94" t="s">
        <v>148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4" t="s">
        <v>138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5" t="s">
        <v>139</v>
      </c>
      <c r="C13" s="33">
        <f>'5.1.a. § 10-tillæg'!E13</f>
        <v>0</v>
      </c>
      <c r="D13" s="46" t="s">
        <v>31</v>
      </c>
      <c r="E13" s="11"/>
    </row>
    <row r="14" spans="1:5" ht="15" customHeight="1" x14ac:dyDescent="0.25">
      <c r="A14" s="11"/>
      <c r="B14" s="95" t="s">
        <v>149</v>
      </c>
      <c r="C14" s="96">
        <v>397856</v>
      </c>
      <c r="D14" s="46" t="s">
        <v>31</v>
      </c>
      <c r="E14" s="11"/>
    </row>
    <row r="15" spans="1:5" ht="15" customHeight="1" x14ac:dyDescent="0.25">
      <c r="A15" s="11"/>
      <c r="B15" s="95"/>
      <c r="C15" s="96"/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95"/>
      <c r="C19" s="96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404045.45700290002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2" t="s">
        <v>50</v>
      </c>
      <c r="C24" s="103">
        <v>397856</v>
      </c>
      <c r="D24" s="104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397856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CyFLMarf2phuGFcL8zzaNXIl6NSVvMcGXlFbmTpeV1gh0vCMeAVBXllSTDiaZtQuzNBbpd8K+CgP0VamhfIloQ==" saltValue="J7pLFtQkGtRsYkyzmOXekA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99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125</v>
      </c>
      <c r="C8" s="106" t="s">
        <v>100</v>
      </c>
      <c r="D8" s="107" t="s">
        <v>101</v>
      </c>
      <c r="E8" s="107" t="s">
        <v>102</v>
      </c>
      <c r="F8" s="27"/>
      <c r="G8" s="11"/>
    </row>
    <row r="9" spans="1:7" ht="15" customHeight="1" x14ac:dyDescent="0.25">
      <c r="A9" s="11"/>
      <c r="B9" s="94" t="s">
        <v>136</v>
      </c>
      <c r="C9" s="33">
        <v>9575338.8208436593</v>
      </c>
      <c r="D9" s="33">
        <v>9101124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137</v>
      </c>
      <c r="C10" s="33">
        <v>75712.542997099998</v>
      </c>
      <c r="D10" s="33">
        <v>81902</v>
      </c>
      <c r="E10" s="33">
        <f t="shared" ref="E10:E19" si="0">MAX(D10-C10,0)</f>
        <v>6189.4570029000024</v>
      </c>
      <c r="F10" s="46" t="s">
        <v>31</v>
      </c>
      <c r="G10" s="11"/>
    </row>
    <row r="11" spans="1:7" ht="42" customHeight="1" x14ac:dyDescent="0.25">
      <c r="A11" s="11"/>
      <c r="B11" s="94" t="s">
        <v>148</v>
      </c>
      <c r="C11" s="33">
        <v>36854.578295660001</v>
      </c>
      <c r="D11" s="33">
        <v>5665</v>
      </c>
      <c r="E11" s="33">
        <f t="shared" si="0"/>
        <v>0</v>
      </c>
      <c r="F11" s="46" t="s">
        <v>31</v>
      </c>
      <c r="G11" s="11"/>
    </row>
    <row r="12" spans="1:7" ht="15" customHeight="1" x14ac:dyDescent="0.25">
      <c r="A12" s="11"/>
      <c r="B12" s="94" t="s">
        <v>138</v>
      </c>
      <c r="C12" s="33">
        <v>21332.313135780001</v>
      </c>
      <c r="D12" s="33">
        <v>14237</v>
      </c>
      <c r="E12" s="33">
        <f t="shared" si="0"/>
        <v>0</v>
      </c>
      <c r="F12" s="46" t="s">
        <v>31</v>
      </c>
      <c r="G12" s="11"/>
    </row>
    <row r="13" spans="1:7" ht="15" customHeight="1" x14ac:dyDescent="0.25">
      <c r="A13" s="11"/>
      <c r="B13" s="95" t="s">
        <v>139</v>
      </c>
      <c r="C13" s="33">
        <v>189897.60915673</v>
      </c>
      <c r="D13" s="33">
        <v>120193</v>
      </c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8" t="s">
        <v>103</v>
      </c>
      <c r="C21" s="109"/>
      <c r="D21" s="109"/>
      <c r="E21" s="109"/>
      <c r="F21" s="110"/>
      <c r="G21" s="11"/>
    </row>
    <row r="22" spans="1:7" ht="15" customHeight="1" x14ac:dyDescent="0.25">
      <c r="A22" s="11"/>
      <c r="B22" s="111"/>
      <c r="C22" s="100"/>
      <c r="D22" s="100"/>
      <c r="E22" s="100"/>
      <c r="F22" s="100"/>
      <c r="G22" s="11"/>
    </row>
    <row r="23" spans="1:7" ht="15" customHeight="1" x14ac:dyDescent="0.25">
      <c r="A23" s="11"/>
      <c r="B23" s="111"/>
      <c r="C23" s="100"/>
      <c r="D23" s="100"/>
      <c r="E23" s="100"/>
      <c r="F23" s="100"/>
      <c r="G23" s="11"/>
    </row>
  </sheetData>
  <sheetProtection algorithmName="SHA-512" hashValue="u67eaDKFTbRUogtb7mVshXno//RCU0gSiPa0O7QRuGxVWl0IxnEuqrtnZ4BsbPvHM9GIg+bUQTqYrjiWXtNQlA==" saltValue="XjkbRNg9wULFE3WlhWqohA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151</v>
      </c>
      <c r="C10" s="33">
        <v>0</v>
      </c>
      <c r="D10" s="46" t="s">
        <v>31</v>
      </c>
      <c r="E10" s="33">
        <v>89625</v>
      </c>
      <c r="F10" s="46" t="s">
        <v>31</v>
      </c>
      <c r="G10" s="11"/>
    </row>
    <row r="11" spans="1:7" ht="15" customHeight="1" x14ac:dyDescent="0.25">
      <c r="A11" s="11"/>
      <c r="B11" s="115" t="s">
        <v>152</v>
      </c>
      <c r="C11" s="33">
        <v>0</v>
      </c>
      <c r="D11" s="46" t="s">
        <v>31</v>
      </c>
      <c r="E11" s="33">
        <v>31340</v>
      </c>
      <c r="F11" s="46" t="s">
        <v>31</v>
      </c>
      <c r="G11" s="11"/>
    </row>
    <row r="12" spans="1:7" ht="15" customHeight="1" x14ac:dyDescent="0.25">
      <c r="A12" s="11"/>
      <c r="B12" s="115" t="s">
        <v>153</v>
      </c>
      <c r="C12" s="33">
        <v>0</v>
      </c>
      <c r="D12" s="46" t="s">
        <v>31</v>
      </c>
      <c r="E12" s="33">
        <v>142345</v>
      </c>
      <c r="F12" s="46" t="s">
        <v>31</v>
      </c>
      <c r="G12" s="11"/>
    </row>
    <row r="13" spans="1:7" ht="15" customHeight="1" x14ac:dyDescent="0.25">
      <c r="A13" s="11"/>
      <c r="B13" s="115" t="s">
        <v>154</v>
      </c>
      <c r="C13" s="33">
        <v>150788</v>
      </c>
      <c r="D13" s="46" t="s">
        <v>31</v>
      </c>
      <c r="E13" s="33">
        <v>172894</v>
      </c>
      <c r="F13" s="46" t="s">
        <v>31</v>
      </c>
      <c r="G13" s="11"/>
    </row>
    <row r="14" spans="1:7" ht="15" customHeight="1" x14ac:dyDescent="0.25">
      <c r="A14" s="11"/>
      <c r="B14" s="115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5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5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104</v>
      </c>
      <c r="C18" s="97">
        <f>SUM(C10:C17)</f>
        <v>150788</v>
      </c>
      <c r="D18" s="98" t="s">
        <v>31</v>
      </c>
      <c r="E18" s="97">
        <f>SUM(E10:E17)</f>
        <v>436204</v>
      </c>
      <c r="F18" s="98" t="s">
        <v>31</v>
      </c>
      <c r="G18" s="11"/>
    </row>
    <row r="19" spans="1:7" ht="15" customHeight="1" x14ac:dyDescent="0.25">
      <c r="A19" s="11"/>
      <c r="B19" s="115" t="s">
        <v>35</v>
      </c>
      <c r="C19" s="33">
        <f>-C18*'8. Nøgletal'!C23</f>
        <v>-3015.76</v>
      </c>
      <c r="D19" s="46" t="s">
        <v>31</v>
      </c>
      <c r="E19" s="33">
        <f>-E18*'8. Nøgletal'!C23</f>
        <v>-8724.08</v>
      </c>
      <c r="F19" s="46" t="s">
        <v>31</v>
      </c>
      <c r="G19" s="11"/>
    </row>
    <row r="20" spans="1:7" ht="15" customHeight="1" x14ac:dyDescent="0.25">
      <c r="A20" s="11"/>
      <c r="B20" s="115" t="s">
        <v>36</v>
      </c>
      <c r="C20" s="33">
        <f>-C18*'8. Nøgletal'!C19</f>
        <v>-3015.76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5" t="s">
        <v>37</v>
      </c>
      <c r="C21" s="33">
        <f>SUM(C18:C20)*'8. Nøgletal'!C9</f>
        <v>9597.3546239999978</v>
      </c>
      <c r="D21" s="46" t="s">
        <v>31</v>
      </c>
      <c r="E21" s="33">
        <f>SUM(E18:E20)*'8. Nøgletal'!C9</f>
        <v>28341.918695999997</v>
      </c>
      <c r="F21" s="46" t="s">
        <v>31</v>
      </c>
      <c r="G21" s="11"/>
    </row>
    <row r="22" spans="1:7" ht="26.25" customHeight="1" x14ac:dyDescent="0.25">
      <c r="A22" s="11"/>
      <c r="B22" s="105" t="s">
        <v>105</v>
      </c>
      <c r="C22" s="97">
        <f>SUM(C18:C21)</f>
        <v>154353.83462399998</v>
      </c>
      <c r="D22" s="98" t="s">
        <v>31</v>
      </c>
      <c r="E22" s="97">
        <f>SUM(E18:E21)</f>
        <v>455821.83869599999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nHMKjcYN0A4CJjgPqarvH3hEi/SjfHhE5qsiF2kOz90/P8WjkXDjS8aDE3SY+MYDYonwMogkthJcyLY/HOv33Q==" saltValue="vHY7sYt0SEM07UdkJtqCj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155</v>
      </c>
      <c r="C10" s="33">
        <v>104490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5" t="s">
        <v>156</v>
      </c>
      <c r="C11" s="33">
        <v>52094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5" t="s">
        <v>157</v>
      </c>
      <c r="C12" s="33">
        <v>141175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25" t="s">
        <v>106</v>
      </c>
      <c r="C13" s="97">
        <f>SUM(C10:C12)</f>
        <v>297759</v>
      </c>
      <c r="D13" s="98" t="s">
        <v>31</v>
      </c>
      <c r="E13" s="97">
        <f>SUM(E10:E12)</f>
        <v>0</v>
      </c>
      <c r="F13" s="98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6"/>
      <c r="C15" s="116"/>
      <c r="D15" s="116"/>
      <c r="E15" s="116"/>
      <c r="F15" s="116"/>
      <c r="G15" s="11"/>
    </row>
  </sheetData>
  <sheetProtection algorithmName="SHA-512" hashValue="tOWA77bx2XIkQu4XtdDCDjDgzbCUMaOq0zcE0b29bag/5bxV0jLgbC4Hs+U6Pv8Zgx46Ur3rv2HTN6BEVnC7yg==" saltValue="WAe60ytY74pSbYqQyqE5z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107</v>
      </c>
      <c r="C8" s="81"/>
      <c r="D8" s="82"/>
      <c r="E8" s="11"/>
    </row>
    <row r="9" spans="1:5" ht="15" customHeight="1" x14ac:dyDescent="0.25">
      <c r="A9" s="11"/>
      <c r="B9" s="117" t="s">
        <v>108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109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fZYJmJ/F56IWCIMWIs1dzisd7R7R3PfXhFuLyBjyCDppBvD4FYS7hSGhwovR2YS2LyOVZuD0o+uyX6MaBNY6ow==" saltValue="vdS2dX6246DEg8FFl27t6Q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110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02" t="s">
        <v>111</v>
      </c>
      <c r="C9" s="120"/>
      <c r="D9" s="102" t="s">
        <v>31</v>
      </c>
      <c r="E9" s="11"/>
    </row>
    <row r="10" spans="1:5" ht="14.25" customHeight="1" x14ac:dyDescent="0.25">
      <c r="A10" s="11"/>
      <c r="B10" s="44" t="s">
        <v>112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02" t="s">
        <v>140</v>
      </c>
      <c r="C13" s="120"/>
      <c r="D13" s="102" t="s">
        <v>31</v>
      </c>
      <c r="E13" s="11"/>
    </row>
    <row r="14" spans="1:5" ht="14.25" customHeight="1" x14ac:dyDescent="0.25">
      <c r="A14" s="11"/>
      <c r="B14" s="44" t="s">
        <v>113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ZnAZsudKqQR0DMiWpIrh+Lroc2ngOnlf4yvMZbnRJE+g3n5kX2F4pKGQgvkWwWF5UfDs+cofZEViwQIya6ogjQ==" saltValue="H8wrRFc9qxLS3ufaip0bQg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114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Sjj4as/Nr0mhmi8rjyngxTRPgMg5kfe8g83kPmEqa3i93bYsor2wIkoWBFhbZK6ckynw4Egd5wBehqF8Z6Y31w==" saltValue="k4MLUzRlO4Nv6XMlKzXRqA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115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150</v>
      </c>
      <c r="C10" s="33">
        <v>0</v>
      </c>
      <c r="D10" s="46" t="s">
        <v>31</v>
      </c>
      <c r="E10" s="33">
        <v>883810.08173329104</v>
      </c>
      <c r="F10" s="46" t="s">
        <v>31</v>
      </c>
      <c r="G10" s="11"/>
    </row>
    <row r="11" spans="1:7" ht="15" customHeight="1" x14ac:dyDescent="0.25">
      <c r="A11" s="11"/>
      <c r="B11" s="25" t="s">
        <v>72</v>
      </c>
      <c r="C11" s="97">
        <f>SUM(C10:C10)</f>
        <v>0</v>
      </c>
      <c r="D11" s="98" t="s">
        <v>31</v>
      </c>
      <c r="E11" s="97">
        <f>SUM(E10:E10)</f>
        <v>883810.08173329104</v>
      </c>
      <c r="F11" s="98" t="s">
        <v>31</v>
      </c>
      <c r="G11" s="11"/>
    </row>
    <row r="12" spans="1:7" ht="15" customHeight="1" x14ac:dyDescent="0.25">
      <c r="A12" s="11"/>
      <c r="B12" s="25" t="s">
        <v>116</v>
      </c>
      <c r="C12" s="97">
        <f>C11*(1+'8. Nøgletal'!C9)</f>
        <v>0</v>
      </c>
      <c r="D12" s="98" t="s">
        <v>31</v>
      </c>
      <c r="E12" s="97">
        <f>E11*(1+'8. Nøgletal'!C9)</f>
        <v>942406.6901522082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r82I7x1yxf0Wn5C4jDKCjuv2dJniEse2YWKXOZQWQRPdh/e/9kViM4dUDZ/v/GEuEXh4jpzz2mTWdzBuKTKoOw==" saltValue="S4XxIKBHTXPkHjmVJVLjfw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73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74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132</v>
      </c>
      <c r="C10" s="103"/>
      <c r="D10" s="104" t="s">
        <v>31</v>
      </c>
      <c r="E10" s="103"/>
      <c r="F10" s="104" t="s">
        <v>31</v>
      </c>
      <c r="G10" s="11"/>
    </row>
    <row r="11" spans="1:7" ht="26.25" customHeight="1" x14ac:dyDescent="0.25">
      <c r="A11" s="11"/>
      <c r="B11" s="130" t="s">
        <v>133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117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StiJRqfXhCtGQC2dxxuLvdHVi43tl+cP0nqnQUZ7q2LeEHVjzGE4U9iu7tWx+Yy84X904cWAb/Jp16TfijYGiA==" saltValue="8+8J/J3AS7Qp2W1uWMw2G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75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76</v>
      </c>
      <c r="C9" s="4">
        <v>6.6299999999999998E-2</v>
      </c>
      <c r="D9" s="22"/>
    </row>
    <row r="10" spans="1:4" ht="15" customHeight="1" x14ac:dyDescent="0.25">
      <c r="A10" s="11"/>
      <c r="B10" s="133" t="s">
        <v>118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77</v>
      </c>
      <c r="C13" s="27"/>
      <c r="D13" s="11"/>
    </row>
    <row r="14" spans="1:4" ht="15" customHeight="1" x14ac:dyDescent="0.25">
      <c r="A14" s="11"/>
      <c r="B14" s="133" t="s">
        <v>78</v>
      </c>
      <c r="C14" s="5">
        <v>0</v>
      </c>
      <c r="D14" s="22"/>
    </row>
    <row r="15" spans="1:4" ht="15" customHeight="1" x14ac:dyDescent="0.25">
      <c r="A15" s="11"/>
      <c r="B15" s="133" t="s">
        <v>119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79</v>
      </c>
      <c r="C18" s="27"/>
      <c r="D18" s="11"/>
    </row>
    <row r="19" spans="1:4" ht="15" customHeight="1" x14ac:dyDescent="0.25">
      <c r="A19" s="11"/>
      <c r="B19" s="101" t="s">
        <v>80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81</v>
      </c>
      <c r="C23" s="8">
        <v>0.02</v>
      </c>
      <c r="D23" s="22"/>
    </row>
    <row r="24" spans="1:4" ht="15" customHeight="1" x14ac:dyDescent="0.25">
      <c r="A24" s="11"/>
      <c r="B24" s="44" t="s">
        <v>120</v>
      </c>
      <c r="C24" s="8">
        <v>0.02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oMEj5yPCoM3K4pmsEL+cA0IcwSVN6Lx27tXv/d8ozEbiPUko/cAIt1hZsfB2oLZFeZKZGarMQQh4N+xhdkrQdQ==" saltValue="GkLMYSOH/+dEWzyoaMsvbQ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2026-10-01T12:32:38Z</dcterms:modified>
</cp:coreProperties>
</file>