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Dragør AS (V08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29" i="8" l="1"/>
  <c r="E33" i="8" l="1"/>
  <c r="E25" i="8" l="1"/>
  <c r="E35" i="8" s="1"/>
  <c r="E20" i="5" l="1"/>
  <c r="E20" i="4"/>
  <c r="E21" i="3"/>
  <c r="E25" i="2"/>
  <c r="C14" i="7"/>
  <c r="E10" i="2" l="1"/>
  <c r="E14" i="6"/>
  <c r="C11" i="12" l="1"/>
  <c r="C12" i="12" s="1"/>
  <c r="C15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<sst xmlns="http://schemas.openxmlformats.org/spreadsheetml/2006/main" count="405" uniqueCount="154">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</sst>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3" fontId="0" fillId="0" borderId="0" xfId="0" applyNumberForma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>
      <selection activeCell="G29" sqref="G29"/>
    </sheetView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2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25">
      <c r="A8" s="1"/>
      <c r="B8" s="1"/>
      <c r="C8" s="4"/>
      <c r="D8" s="67" t="s">
        <v>94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9" t="s">
        <v>87</v>
      </c>
      <c r="E13" s="60"/>
      <c r="F13" s="60"/>
      <c r="G13" s="61"/>
      <c r="H13" s="1"/>
      <c r="I13" s="1"/>
    </row>
    <row r="14" spans="1:9" x14ac:dyDescent="0.25">
      <c r="A14" s="1"/>
      <c r="B14" s="1"/>
      <c r="C14" s="6" t="s">
        <v>15</v>
      </c>
      <c r="D14" s="59" t="s">
        <v>37</v>
      </c>
      <c r="E14" s="60"/>
      <c r="F14" s="60"/>
      <c r="G14" s="61"/>
      <c r="H14" s="1"/>
      <c r="I14" s="1"/>
    </row>
    <row r="15" spans="1:9" x14ac:dyDescent="0.25">
      <c r="A15" s="1"/>
      <c r="B15" s="1"/>
      <c r="C15" s="6" t="s">
        <v>32</v>
      </c>
      <c r="D15" s="59" t="s">
        <v>63</v>
      </c>
      <c r="E15" s="60"/>
      <c r="F15" s="60"/>
      <c r="G15" s="61"/>
      <c r="H15" s="1"/>
      <c r="I15" s="1"/>
    </row>
    <row r="16" spans="1:9" x14ac:dyDescent="0.25">
      <c r="A16" s="1"/>
      <c r="B16" s="1"/>
      <c r="C16" s="6" t="s">
        <v>33</v>
      </c>
      <c r="D16" s="59" t="s">
        <v>95</v>
      </c>
      <c r="E16" s="60"/>
      <c r="F16" s="60"/>
      <c r="G16" s="61"/>
      <c r="H16" s="1"/>
      <c r="I16" s="1"/>
    </row>
    <row r="17" spans="1:9" x14ac:dyDescent="0.25">
      <c r="A17" s="1"/>
      <c r="B17" s="1"/>
      <c r="C17" s="6" t="s">
        <v>59</v>
      </c>
      <c r="D17" s="59" t="s">
        <v>96</v>
      </c>
      <c r="E17" s="60"/>
      <c r="F17" s="60"/>
      <c r="G17" s="61"/>
      <c r="H17" s="1"/>
      <c r="I17" s="1"/>
    </row>
    <row r="18" spans="1:9" x14ac:dyDescent="0.25">
      <c r="A18" s="1"/>
      <c r="B18" s="1"/>
      <c r="C18" s="6" t="s">
        <v>7</v>
      </c>
      <c r="D18" s="71" t="s">
        <v>12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8</v>
      </c>
      <c r="D19" s="63" t="s">
        <v>97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56</v>
      </c>
      <c r="D20" s="63" t="s">
        <v>34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82</v>
      </c>
      <c r="D21" s="63" t="s">
        <v>41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83</v>
      </c>
      <c r="D22" s="63" t="s">
        <v>42</v>
      </c>
      <c r="E22" s="64"/>
      <c r="F22" s="64"/>
      <c r="G22" s="65"/>
      <c r="H22" s="1"/>
      <c r="I22" s="1"/>
    </row>
    <row r="23" spans="1:9" x14ac:dyDescent="0.25">
      <c r="A23" s="1"/>
      <c r="B23" s="1"/>
      <c r="C23" s="6" t="s">
        <v>84</v>
      </c>
      <c r="D23" s="63" t="s">
        <v>64</v>
      </c>
      <c r="E23" s="64"/>
      <c r="F23" s="64"/>
      <c r="G23" s="65"/>
      <c r="H23" s="1"/>
      <c r="I23" s="1"/>
    </row>
    <row r="24" spans="1:9" x14ac:dyDescent="0.25">
      <c r="A24" s="1"/>
      <c r="B24" s="1"/>
      <c r="C24" s="6" t="s">
        <v>9</v>
      </c>
      <c r="D24" s="63" t="s">
        <v>35</v>
      </c>
      <c r="E24" s="64"/>
      <c r="F24" s="64"/>
      <c r="G24" s="65"/>
      <c r="H24" s="1"/>
      <c r="I24" s="1"/>
    </row>
    <row r="25" spans="1:9" x14ac:dyDescent="0.25">
      <c r="A25" s="1"/>
      <c r="B25" s="1"/>
      <c r="C25" s="6" t="s">
        <v>50</v>
      </c>
      <c r="D25" s="68" t="s">
        <v>57</v>
      </c>
      <c r="E25" s="69"/>
      <c r="F25" s="69"/>
      <c r="G25" s="7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kJZ7pkeN43aeAtak3VNmiEuYt759bcB86ZzMoPsp8Ik3k3lZvY1JqT4W7Z9qJBKOqwKOugCIJIXUV7C6ujDEA==" saltValue="6D5sK7qal6lGpOyDvc2ij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7" t="s">
        <v>38</v>
      </c>
      <c r="C8" s="22"/>
      <c r="D8" s="22"/>
      <c r="E8" s="22"/>
      <c r="F8" s="58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7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7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vOPr/dPdcnonpb54SmovaUZsImj/UQCTXlHy76rTuZiq1KkXM7wyphENDX7Jn8v2yBooNrO6EbtNMzL8dhatnA==" saltValue="9l7pPEi78wtkYkoaZAjLZ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51</v>
      </c>
      <c r="C8" s="90"/>
      <c r="D8" s="90"/>
      <c r="E8" s="90"/>
      <c r="F8" s="91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2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7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7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6"/>
      <c r="G16" s="1"/>
    </row>
    <row r="17" spans="1:7" x14ac:dyDescent="0.2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7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7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9" t="s">
        <v>77</v>
      </c>
      <c r="C22" s="90"/>
      <c r="D22" s="90"/>
      <c r="E22" s="90"/>
      <c r="F22" s="91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6"/>
      <c r="G23" s="1"/>
    </row>
    <row r="24" spans="1:7" x14ac:dyDescent="0.2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7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7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9" t="s">
        <v>112</v>
      </c>
      <c r="C29" s="90"/>
      <c r="D29" s="90"/>
      <c r="E29" s="90"/>
      <c r="F29" s="91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6"/>
      <c r="G30" s="1"/>
    </row>
    <row r="31" spans="1:7" x14ac:dyDescent="0.2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7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7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xm7DAi+IasedrnsV+5p89QOIG2+tOFHzFF0M66CcLyEU6KR9ChUlSgrzSQttPHaUM4+k21noSCA/7a56/ZHRQ==" saltValue="NwJjkps1Bf12INn/4IUWX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25">
      <c r="A9" s="1"/>
      <c r="B9" s="55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JqlXamAxdLe+NHsAUel9hKmU8k4GBt5PbyUYNMAewsEy7hqiFLR74vwlsHxjptnUgR0HoznosqcpKErEX8pjjQ==" saltValue="N2b8Ohq92g17srO2sQaJS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25">
      <c r="A9" s="1"/>
      <c r="B9" s="55" t="s">
        <v>17</v>
      </c>
      <c r="C9" s="55" t="s">
        <v>11</v>
      </c>
      <c r="D9" s="56"/>
      <c r="E9" s="55" t="s">
        <v>28</v>
      </c>
      <c r="F9" s="56"/>
      <c r="G9" s="1"/>
    </row>
    <row r="10" spans="1:7" x14ac:dyDescent="0.2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7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49</v>
      </c>
      <c r="C14" s="90"/>
      <c r="D14" s="90"/>
      <c r="E14" s="90"/>
      <c r="F14" s="91"/>
      <c r="G14" s="1"/>
    </row>
    <row r="15" spans="1:7" ht="26.25" x14ac:dyDescent="0.25">
      <c r="A15" s="1"/>
      <c r="B15" s="55" t="s">
        <v>17</v>
      </c>
      <c r="C15" s="55" t="s">
        <v>11</v>
      </c>
      <c r="D15" s="56"/>
      <c r="E15" s="55" t="s">
        <v>28</v>
      </c>
      <c r="F15" s="56"/>
      <c r="G15" s="1"/>
    </row>
    <row r="16" spans="1:7" x14ac:dyDescent="0.2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7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73</v>
      </c>
      <c r="C20" s="90"/>
      <c r="D20" s="90"/>
      <c r="E20" s="90"/>
      <c r="F20" s="91"/>
      <c r="G20" s="1"/>
    </row>
    <row r="21" spans="1:7" ht="26.25" x14ac:dyDescent="0.25">
      <c r="A21" s="1"/>
      <c r="B21" s="55" t="s">
        <v>17</v>
      </c>
      <c r="C21" s="55" t="s">
        <v>11</v>
      </c>
      <c r="D21" s="56"/>
      <c r="E21" s="55" t="s">
        <v>28</v>
      </c>
      <c r="F21" s="56"/>
      <c r="G21" s="1"/>
    </row>
    <row r="22" spans="1:7" x14ac:dyDescent="0.2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7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26.25" x14ac:dyDescent="0.25">
      <c r="A27" s="1"/>
      <c r="B27" s="55" t="s">
        <v>17</v>
      </c>
      <c r="C27" s="55" t="s">
        <v>11</v>
      </c>
      <c r="D27" s="56"/>
      <c r="E27" s="55" t="s">
        <v>28</v>
      </c>
      <c r="F27" s="56"/>
      <c r="G27" s="1"/>
    </row>
    <row r="28" spans="1:7" x14ac:dyDescent="0.2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7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TlDvLtyjYor6X++Nq0+e33hGSDTfCdzPJnfYj8fYahPG3eCuZqCNU9fC35TzvS8WtnKkXerodHY5QaF90OEXtw==" saltValue="gNiCDh+Idf8rR8zMpXYzh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7" t="s">
        <v>93</v>
      </c>
      <c r="C3" s="87"/>
      <c r="D3" s="1"/>
    </row>
    <row r="4" spans="1:4" ht="25.5" customHeight="1" x14ac:dyDescent="0.25">
      <c r="A4" s="1"/>
      <c r="B4" s="87"/>
      <c r="C4" s="8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7" t="s">
        <v>14</v>
      </c>
      <c r="C8" s="58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7"/>
      <c r="C15" s="58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7" t="s">
        <v>54</v>
      </c>
      <c r="C18" s="58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7"/>
      <c r="C20" s="108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B9WGkMHIaKSpoZdMU3ovfPxIGICU/EVzY8LHwl7t+05mXFF7QT4dKt9I7Mnj8dJHX05Z3RieC+cL0e+Q9XCkVg==" saltValue="MLWSTcctrjth3HfU8L72i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>
      <selection activeCell="E25" sqref="E25"/>
    </sheetView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</v>
      </c>
      <c r="C8" s="43"/>
      <c r="D8" s="43"/>
      <c r="E8" s="43"/>
      <c r="F8" s="43"/>
      <c r="G8" s="1"/>
    </row>
    <row r="9" spans="1:7" x14ac:dyDescent="0.25">
      <c r="A9" s="1"/>
      <c r="B9" s="40" t="s">
        <v>24</v>
      </c>
      <c r="C9" s="40"/>
      <c r="D9" s="40"/>
      <c r="E9" s="7">
        <f>'Fane 3. Omkostninger i ØR2021'!E16</f>
        <v>8117748.5099594826</v>
      </c>
      <c r="F9" s="40" t="s">
        <v>3</v>
      </c>
      <c r="G9" s="1"/>
    </row>
    <row r="10" spans="1:7" ht="17.100000000000001" customHeight="1" x14ac:dyDescent="0.25">
      <c r="A10" s="1"/>
      <c r="B10" s="33" t="s">
        <v>121</v>
      </c>
      <c r="C10" s="40"/>
      <c r="D10" s="40"/>
      <c r="E10" s="7">
        <f>'Fane 3. Omkostninger i ØR2021'!E13*(1-'Fane 10. Nøgletal'!C19)*(1+'Fane 10. Nøgletal'!C13)</f>
        <v>0</v>
      </c>
      <c r="F10" s="40" t="s">
        <v>3</v>
      </c>
      <c r="G10" s="1"/>
    </row>
    <row r="11" spans="1:7" ht="17.100000000000001" customHeight="1" x14ac:dyDescent="0.25">
      <c r="A11" s="1"/>
      <c r="B11" s="29" t="s">
        <v>60</v>
      </c>
      <c r="C11" s="40"/>
      <c r="D11" s="40"/>
      <c r="E11" s="7">
        <f>'Fane 7.1. Varige tillæg'!C12+'Fane 7.1. Varige tillæg'!E12</f>
        <v>0</v>
      </c>
      <c r="F11" s="40" t="s">
        <v>3</v>
      </c>
      <c r="G11" s="1"/>
    </row>
    <row r="12" spans="1:7" ht="17.100000000000001" customHeight="1" x14ac:dyDescent="0.25">
      <c r="A12" s="1"/>
      <c r="B12" s="29" t="s">
        <v>62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25">
      <c r="A13" s="1"/>
      <c r="B13" s="29" t="s">
        <v>65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25">
      <c r="A14" s="1"/>
      <c r="B14" s="29" t="s">
        <v>18</v>
      </c>
      <c r="C14" s="40"/>
      <c r="D14" s="40"/>
      <c r="E14" s="8">
        <f>E9*'Fane 10. Nøgletal'!C13+SUM(E11:E13)*'Fane 10. Nøgletal'!C14</f>
        <v>99036.53182150569</v>
      </c>
      <c r="F14" s="40" t="s">
        <v>3</v>
      </c>
      <c r="G14" s="1"/>
    </row>
    <row r="15" spans="1:7" ht="17.100000000000001" customHeight="1" x14ac:dyDescent="0.25">
      <c r="A15" s="1"/>
      <c r="B15" s="29" t="s">
        <v>54</v>
      </c>
      <c r="C15" s="40"/>
      <c r="D15" s="40"/>
      <c r="E15" s="8">
        <f>-SUM(E9,E11:E14)*'Fane 10. Nøgletal'!C19</f>
        <v>-139685.34571027683</v>
      </c>
      <c r="F15" s="40" t="s">
        <v>3</v>
      </c>
      <c r="G15" s="1"/>
    </row>
    <row r="16" spans="1:7" ht="15" customHeight="1" x14ac:dyDescent="0.25">
      <c r="A16" s="1"/>
      <c r="B16" s="51" t="s">
        <v>20</v>
      </c>
      <c r="C16" s="42"/>
      <c r="D16" s="42"/>
      <c r="E16" s="9">
        <f>SUM(E9,E11:E15)</f>
        <v>8077099.6960707121</v>
      </c>
      <c r="F16" s="44" t="s">
        <v>3</v>
      </c>
      <c r="G16" s="1"/>
    </row>
    <row r="17" spans="1:7" ht="15" customHeight="1" x14ac:dyDescent="0.25">
      <c r="A17" s="1"/>
      <c r="B17" s="43" t="s">
        <v>12</v>
      </c>
      <c r="C17" s="43"/>
      <c r="D17" s="43"/>
      <c r="E17" s="43"/>
      <c r="F17" s="43"/>
      <c r="G17" s="1"/>
    </row>
    <row r="18" spans="1:7" ht="15" customHeight="1" x14ac:dyDescent="0.25">
      <c r="A18" s="1"/>
      <c r="B18" s="44" t="s">
        <v>12</v>
      </c>
      <c r="C18" s="44"/>
      <c r="D18" s="44"/>
      <c r="E18" s="9">
        <f>'Fane 4. Ikke-påvirkelige omk.'!C15</f>
        <v>6257889.5214539906</v>
      </c>
      <c r="F18" s="44" t="s">
        <v>3</v>
      </c>
      <c r="G18" s="1"/>
    </row>
    <row r="19" spans="1:7" ht="15" customHeight="1" x14ac:dyDescent="0.25">
      <c r="A19" s="1"/>
      <c r="B19" s="43" t="s">
        <v>42</v>
      </c>
      <c r="C19" s="43"/>
      <c r="D19" s="43"/>
      <c r="E19" s="43"/>
      <c r="F19" s="43"/>
      <c r="G19" s="1"/>
    </row>
    <row r="20" spans="1:7" ht="15" customHeight="1" x14ac:dyDescent="0.25">
      <c r="A20" s="1"/>
      <c r="B20" s="29" t="s">
        <v>39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25">
      <c r="A21" s="1"/>
      <c r="B21" s="29" t="s">
        <v>40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25">
      <c r="A22" s="1"/>
      <c r="B22" s="51" t="s">
        <v>43</v>
      </c>
      <c r="C22" s="42"/>
      <c r="D22" s="42"/>
      <c r="E22" s="9">
        <f>SUM(E20:E21)</f>
        <v>0</v>
      </c>
      <c r="F22" s="44" t="s">
        <v>3</v>
      </c>
      <c r="G22" s="1"/>
    </row>
    <row r="23" spans="1:7" x14ac:dyDescent="0.25">
      <c r="A23" s="1"/>
      <c r="B23" s="43" t="s">
        <v>85</v>
      </c>
      <c r="C23" s="43"/>
      <c r="D23" s="43"/>
      <c r="E23" s="43"/>
      <c r="F23" s="43"/>
      <c r="G23" s="1"/>
    </row>
    <row r="24" spans="1:7" x14ac:dyDescent="0.25">
      <c r="A24" s="1"/>
      <c r="B24" s="51" t="s">
        <v>31</v>
      </c>
      <c r="C24" s="42"/>
      <c r="D24" s="42"/>
      <c r="E24" s="9">
        <v>238735.04603497213</v>
      </c>
      <c r="F24" s="44" t="s">
        <v>3</v>
      </c>
      <c r="G24" s="1"/>
    </row>
    <row r="25" spans="1:7" x14ac:dyDescent="0.25">
      <c r="A25" s="1"/>
      <c r="B25" s="51" t="s">
        <v>86</v>
      </c>
      <c r="C25" s="42"/>
      <c r="D25" s="42"/>
      <c r="E25" s="9">
        <f>'Fane 5. Kontrol af ØR2020'!E29</f>
        <v>-883037.37097601499</v>
      </c>
      <c r="F25" s="44" t="s">
        <v>3</v>
      </c>
      <c r="G25" s="1"/>
    </row>
    <row r="26" spans="1:7" x14ac:dyDescent="0.25">
      <c r="A26" s="1"/>
      <c r="B26" s="43" t="s">
        <v>149</v>
      </c>
      <c r="C26" s="43"/>
      <c r="D26" s="43"/>
      <c r="E26" s="43"/>
      <c r="F26" s="43"/>
      <c r="G26" s="1"/>
    </row>
    <row r="27" spans="1:7" x14ac:dyDescent="0.25">
      <c r="A27" s="1"/>
      <c r="B27" s="44" t="s">
        <v>150</v>
      </c>
      <c r="C27" s="44"/>
      <c r="D27" s="44"/>
      <c r="E27" s="9">
        <v>0</v>
      </c>
      <c r="F27" s="44" t="s">
        <v>3</v>
      </c>
      <c r="G27" s="1"/>
    </row>
    <row r="28" spans="1:7" x14ac:dyDescent="0.25">
      <c r="A28" s="1"/>
      <c r="B28" s="43" t="s">
        <v>26</v>
      </c>
      <c r="C28" s="43"/>
      <c r="D28" s="43"/>
      <c r="E28" s="10">
        <f>SUM(E16,E18,E22,E24,E25,E27)</f>
        <v>13690686.892583661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sheetProtection algorithmName="SHA-512" hashValue="rLXvssdu7nwp8Xa7JDF1KfUbYerKH7iN/Vm7akL2MF1GIwDQh91b2E9pYSLi3Op0L4KnDZj86k6loQyXjVEbeA==" saltValue="OF+/4vnk7xrfbHIjOYpVM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101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</v>
      </c>
      <c r="C8" s="43"/>
      <c r="D8" s="43"/>
      <c r="E8" s="43"/>
      <c r="F8" s="43"/>
      <c r="G8" s="1"/>
    </row>
    <row r="9" spans="1:7" ht="15" customHeight="1" x14ac:dyDescent="0.25">
      <c r="A9" s="1"/>
      <c r="B9" s="40" t="s">
        <v>66</v>
      </c>
      <c r="C9" s="40"/>
      <c r="D9" s="40"/>
      <c r="E9" s="7">
        <f>'Fane 2.1. Økonomisk ramme 2022'!E16</f>
        <v>8077099.6960707121</v>
      </c>
      <c r="F9" s="40" t="s">
        <v>3</v>
      </c>
      <c r="G9" s="1"/>
    </row>
    <row r="10" spans="1:7" ht="15" customHeight="1" x14ac:dyDescent="0.25">
      <c r="A10" s="1"/>
      <c r="B10" s="29" t="s">
        <v>62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25">
      <c r="A11" s="1"/>
      <c r="B11" s="41" t="s">
        <v>18</v>
      </c>
      <c r="C11" s="40"/>
      <c r="D11" s="40"/>
      <c r="E11" s="8">
        <f>SUM(E9:E10)*'Fane 10. Nøgletal'!C14</f>
        <v>26654.428997033348</v>
      </c>
      <c r="F11" s="40" t="s">
        <v>3</v>
      </c>
      <c r="G11" s="1"/>
    </row>
    <row r="12" spans="1:7" ht="15" customHeight="1" x14ac:dyDescent="0.25">
      <c r="A12" s="1"/>
      <c r="B12" s="41" t="s">
        <v>54</v>
      </c>
      <c r="C12" s="40"/>
      <c r="D12" s="40"/>
      <c r="E12" s="8">
        <f>-SUM(E9:E11)*'Fane 10. Nøgletal'!C19</f>
        <v>-137763.82012615167</v>
      </c>
      <c r="F12" s="40" t="s">
        <v>3</v>
      </c>
      <c r="G12" s="1"/>
    </row>
    <row r="13" spans="1:7" ht="15" customHeight="1" x14ac:dyDescent="0.25">
      <c r="A13" s="1"/>
      <c r="B13" s="42" t="s">
        <v>20</v>
      </c>
      <c r="C13" s="42"/>
      <c r="D13" s="42"/>
      <c r="E13" s="9">
        <f>SUM(E9:E12)</f>
        <v>7965990.3049415937</v>
      </c>
      <c r="F13" s="44" t="s">
        <v>3</v>
      </c>
      <c r="G13" s="1"/>
    </row>
    <row r="14" spans="1:7" x14ac:dyDescent="0.25">
      <c r="A14" s="1"/>
      <c r="B14" s="43" t="s">
        <v>12</v>
      </c>
      <c r="C14" s="43"/>
      <c r="D14" s="43"/>
      <c r="E14" s="43"/>
      <c r="F14" s="43"/>
      <c r="G14" s="1"/>
    </row>
    <row r="15" spans="1:7" ht="15" customHeight="1" x14ac:dyDescent="0.25">
      <c r="A15" s="1"/>
      <c r="B15" s="44" t="s">
        <v>12</v>
      </c>
      <c r="C15" s="44"/>
      <c r="D15" s="44"/>
      <c r="E15" s="9">
        <f>'Fane 4. Ikke-påvirkelige omk.'!C15*(1+'Fane 10. Nøgletal'!C14)</f>
        <v>6278540.5568747893</v>
      </c>
      <c r="F15" s="44" t="s">
        <v>3</v>
      </c>
      <c r="G15" s="1"/>
    </row>
    <row r="16" spans="1:7" ht="15" customHeight="1" x14ac:dyDescent="0.25">
      <c r="A16" s="1"/>
      <c r="B16" s="43" t="s">
        <v>42</v>
      </c>
      <c r="C16" s="43"/>
      <c r="D16" s="43"/>
      <c r="E16" s="43"/>
      <c r="F16" s="43"/>
      <c r="G16" s="1"/>
    </row>
    <row r="17" spans="1:7" ht="15" customHeight="1" x14ac:dyDescent="0.25">
      <c r="A17" s="1"/>
      <c r="B17" s="29" t="s">
        <v>39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25">
      <c r="A18" s="1"/>
      <c r="B18" s="29" t="s">
        <v>40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25">
      <c r="A19" s="1"/>
      <c r="B19" s="51" t="s">
        <v>43</v>
      </c>
      <c r="C19" s="42"/>
      <c r="D19" s="42"/>
      <c r="E19" s="9">
        <f>SUM(E17:E18)</f>
        <v>0</v>
      </c>
      <c r="F19" s="44" t="s">
        <v>3</v>
      </c>
      <c r="G19" s="1"/>
    </row>
    <row r="20" spans="1:7" x14ac:dyDescent="0.25">
      <c r="A20" s="1"/>
      <c r="B20" s="43" t="s">
        <v>85</v>
      </c>
      <c r="C20" s="43"/>
      <c r="D20" s="43"/>
      <c r="E20" s="43"/>
      <c r="F20" s="43"/>
      <c r="G20" s="1"/>
    </row>
    <row r="21" spans="1:7" x14ac:dyDescent="0.25">
      <c r="A21" s="1"/>
      <c r="B21" s="44" t="s">
        <v>151</v>
      </c>
      <c r="C21" s="44"/>
      <c r="D21" s="44"/>
      <c r="E21" s="9">
        <f>'Fane 5. Kontrol af ØR2020'!E35</f>
        <v>-36750.995835252106</v>
      </c>
      <c r="F21" s="44" t="s">
        <v>3</v>
      </c>
      <c r="G21" s="1"/>
    </row>
    <row r="22" spans="1:7" x14ac:dyDescent="0.25">
      <c r="A22" s="1"/>
      <c r="B22" s="43" t="s">
        <v>47</v>
      </c>
      <c r="C22" s="43"/>
      <c r="D22" s="43"/>
      <c r="E22" s="10">
        <f>SUM(E13,E15,E19,E21)</f>
        <v>14207779.865981132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algorithmName="SHA-512" hashValue="nLy3yTPLF+iSt2BMo+EoblVIwpWKXNsK9WPRbpSuN+fT8NcLe6iOSrX/qlOoc9e7PG+prcHMimN+F8sdpd1B1g==" saltValue="SFHBlN6CcqFTnEGGpPq1q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25">
      <c r="A8" s="1"/>
      <c r="B8" s="40" t="s">
        <v>67</v>
      </c>
      <c r="C8" s="40"/>
      <c r="D8" s="40"/>
      <c r="E8" s="7">
        <f>'Fane 2.2. Økonomisk ramme 2023'!E13</f>
        <v>7965990.3049415937</v>
      </c>
      <c r="F8" s="40" t="s">
        <v>3</v>
      </c>
      <c r="G8" s="1"/>
    </row>
    <row r="9" spans="1:7" ht="15" customHeight="1" x14ac:dyDescent="0.25">
      <c r="A9" s="1"/>
      <c r="B9" s="40" t="s">
        <v>62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25">
      <c r="A10" s="1"/>
      <c r="B10" s="41" t="s">
        <v>18</v>
      </c>
      <c r="C10" s="40"/>
      <c r="D10" s="40"/>
      <c r="E10" s="8">
        <f>SUM(E8:E9)*'Fane 10. Nøgletal'!C14</f>
        <v>26287.768006307258</v>
      </c>
      <c r="F10" s="40" t="s">
        <v>3</v>
      </c>
      <c r="G10" s="1"/>
    </row>
    <row r="11" spans="1:7" ht="15" customHeight="1" x14ac:dyDescent="0.25">
      <c r="A11" s="1"/>
      <c r="B11" s="41" t="s">
        <v>54</v>
      </c>
      <c r="C11" s="40"/>
      <c r="D11" s="40"/>
      <c r="E11" s="8">
        <f>-SUM(E8:E10)*'Fane 10. Nøgletal'!C19</f>
        <v>-135868.72724011433</v>
      </c>
      <c r="F11" s="40" t="s">
        <v>3</v>
      </c>
      <c r="G11" s="1"/>
    </row>
    <row r="12" spans="1:7" x14ac:dyDescent="0.25">
      <c r="A12" s="1"/>
      <c r="B12" s="42" t="s">
        <v>20</v>
      </c>
      <c r="C12" s="42"/>
      <c r="D12" s="42"/>
      <c r="E12" s="9">
        <f>SUM(E8:E11)</f>
        <v>7856409.3457077863</v>
      </c>
      <c r="F12" s="44" t="s">
        <v>3</v>
      </c>
      <c r="G12" s="1"/>
    </row>
    <row r="13" spans="1:7" x14ac:dyDescent="0.2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25">
      <c r="A14" s="1"/>
      <c r="B14" s="44" t="s">
        <v>12</v>
      </c>
      <c r="C14" s="44"/>
      <c r="D14" s="44"/>
      <c r="E14" s="9">
        <f>'Fane 4. Ikke-påvirkelige omk.'!C15*(1+'Fane 10. Nøgletal'!C14)^2</f>
        <v>6299259.7407124769</v>
      </c>
      <c r="F14" s="44" t="s">
        <v>3</v>
      </c>
      <c r="G14" s="1"/>
    </row>
    <row r="15" spans="1:7" ht="15" customHeight="1" x14ac:dyDescent="0.2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25">
      <c r="A16" s="1"/>
      <c r="B16" s="29" t="s">
        <v>39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25">
      <c r="A17" s="1"/>
      <c r="B17" s="29" t="s">
        <v>40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25">
      <c r="A18" s="1"/>
      <c r="B18" s="51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2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25">
      <c r="A20" s="1"/>
      <c r="B20" s="44" t="s">
        <v>86</v>
      </c>
      <c r="C20" s="44"/>
      <c r="D20" s="44"/>
      <c r="E20" s="9">
        <f>'Fane 5. Kontrol af ØR2020'!E35</f>
        <v>-36750.995835252106</v>
      </c>
      <c r="F20" s="44" t="s">
        <v>3</v>
      </c>
      <c r="G20" s="1"/>
    </row>
    <row r="21" spans="1:7" x14ac:dyDescent="0.25">
      <c r="A21" s="1"/>
      <c r="B21" s="43" t="s">
        <v>68</v>
      </c>
      <c r="C21" s="43"/>
      <c r="D21" s="43"/>
      <c r="E21" s="10">
        <f>SUM(E12,E14,E18,E20)</f>
        <v>14118918.090585012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O0gXtduoVSTrn5FeJvS+gtdtMroge20Wyfb1tiR8MBroMDrSh3YwcP83CjK1GQr/tMAnISwqf2gw7zOS4s3Z2Q==" saltValue="Nyis2o1tZSBHPAUGkDGYe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25">
      <c r="A8" s="1"/>
      <c r="B8" s="40" t="s">
        <v>103</v>
      </c>
      <c r="C8" s="40"/>
      <c r="D8" s="40"/>
      <c r="E8" s="7">
        <f>'Fane 2.3. Økonomisk ramme 2024'!E12</f>
        <v>7856409.3457077863</v>
      </c>
      <c r="F8" s="40" t="s">
        <v>3</v>
      </c>
      <c r="G8" s="1"/>
    </row>
    <row r="9" spans="1:7" ht="15" customHeight="1" x14ac:dyDescent="0.25">
      <c r="A9" s="1"/>
      <c r="B9" s="40" t="s">
        <v>62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25">
      <c r="A10" s="1"/>
      <c r="B10" s="41" t="s">
        <v>18</v>
      </c>
      <c r="C10" s="40"/>
      <c r="D10" s="40"/>
      <c r="E10" s="8">
        <f>SUM(E8:E9)*'Fane 10. Nøgletal'!C14</f>
        <v>25926.150840835693</v>
      </c>
      <c r="F10" s="40" t="s">
        <v>3</v>
      </c>
      <c r="G10" s="1"/>
    </row>
    <row r="11" spans="1:7" ht="15" customHeight="1" x14ac:dyDescent="0.25">
      <c r="A11" s="1"/>
      <c r="B11" s="41" t="s">
        <v>54</v>
      </c>
      <c r="C11" s="40"/>
      <c r="D11" s="40"/>
      <c r="E11" s="8">
        <f>-SUM(E8:E10)*'Fane 10. Nøgletal'!C19</f>
        <v>-133999.70344132659</v>
      </c>
      <c r="F11" s="40" t="s">
        <v>3</v>
      </c>
      <c r="G11" s="1"/>
    </row>
    <row r="12" spans="1:7" x14ac:dyDescent="0.25">
      <c r="A12" s="1"/>
      <c r="B12" s="42" t="s">
        <v>20</v>
      </c>
      <c r="C12" s="42"/>
      <c r="D12" s="42"/>
      <c r="E12" s="9">
        <f>SUM(E8:E11)</f>
        <v>7748335.7931072954</v>
      </c>
      <c r="F12" s="44" t="s">
        <v>3</v>
      </c>
      <c r="G12" s="1"/>
    </row>
    <row r="13" spans="1:7" x14ac:dyDescent="0.2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25">
      <c r="A14" s="1"/>
      <c r="B14" s="44" t="s">
        <v>12</v>
      </c>
      <c r="C14" s="44"/>
      <c r="D14" s="44"/>
      <c r="E14" s="9">
        <f>'Fane 4. Ikke-påvirkelige omk.'!C15*(1+'Fane 10. Nøgletal'!C14)^3</f>
        <v>6320047.2978568282</v>
      </c>
      <c r="F14" s="44" t="s">
        <v>3</v>
      </c>
      <c r="G14" s="1"/>
    </row>
    <row r="15" spans="1:7" ht="15" customHeight="1" x14ac:dyDescent="0.2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25">
      <c r="A16" s="1"/>
      <c r="B16" s="29" t="s">
        <v>39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25">
      <c r="A17" s="1"/>
      <c r="B17" s="29" t="s">
        <v>40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25">
      <c r="A18" s="1"/>
      <c r="B18" s="51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2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25">
      <c r="A20" s="1"/>
      <c r="B20" s="44" t="s">
        <v>86</v>
      </c>
      <c r="C20" s="44"/>
      <c r="D20" s="44"/>
      <c r="E20" s="9">
        <f>'Fane 5. Kontrol af ØR2020'!E35</f>
        <v>-36750.995835252106</v>
      </c>
      <c r="F20" s="44" t="s">
        <v>3</v>
      </c>
      <c r="G20" s="1"/>
    </row>
    <row r="21" spans="1:7" x14ac:dyDescent="0.25">
      <c r="A21" s="1"/>
      <c r="B21" s="43" t="s">
        <v>104</v>
      </c>
      <c r="C21" s="43"/>
      <c r="D21" s="43"/>
      <c r="E21" s="10">
        <f>SUM(E12,E14,E18,E20)</f>
        <v>14031632.095128872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WhKjRss3W0KnyWOcsP+Cjd/yGDLCWgHIqSbpqrHTIU6V4Fezua+zsElRLSrDffKEliGj0h3Ba9TnHE2gKlPnEA==" saltValue="nGtc1jPnbR7Q9kO/kDYFF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105</v>
      </c>
      <c r="C3" s="87"/>
      <c r="D3" s="87"/>
      <c r="E3" s="87"/>
      <c r="F3" s="87"/>
      <c r="G3" s="1"/>
    </row>
    <row r="4" spans="1:9" ht="29.2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43" t="s">
        <v>126</v>
      </c>
      <c r="C8" s="43"/>
      <c r="D8" s="43"/>
      <c r="E8" s="43"/>
      <c r="F8" s="43"/>
      <c r="G8" s="1"/>
    </row>
    <row r="9" spans="1:9" x14ac:dyDescent="0.25">
      <c r="A9" s="1"/>
      <c r="B9" s="88" t="s">
        <v>23</v>
      </c>
      <c r="C9" s="88"/>
      <c r="D9" s="88"/>
      <c r="E9" s="7">
        <v>8169812.2444920009</v>
      </c>
      <c r="F9" s="40" t="s">
        <v>3</v>
      </c>
      <c r="G9" s="1"/>
      <c r="I9" s="38"/>
    </row>
    <row r="10" spans="1:9" x14ac:dyDescent="0.25">
      <c r="A10" s="1"/>
      <c r="B10" s="77" t="s">
        <v>128</v>
      </c>
      <c r="C10" s="77"/>
      <c r="D10" s="77"/>
      <c r="E10" s="7">
        <v>-103768.9560131154</v>
      </c>
      <c r="F10" s="40" t="s">
        <v>3</v>
      </c>
      <c r="G10" s="1"/>
    </row>
    <row r="11" spans="1:9" x14ac:dyDescent="0.25">
      <c r="A11" s="1"/>
      <c r="B11" s="77" t="s">
        <v>60</v>
      </c>
      <c r="C11" s="77"/>
      <c r="D11" s="77"/>
      <c r="E11" s="7">
        <v>92558.604600000006</v>
      </c>
      <c r="F11" s="40" t="s">
        <v>3</v>
      </c>
      <c r="G11" s="1"/>
    </row>
    <row r="12" spans="1:9" x14ac:dyDescent="0.25">
      <c r="A12" s="1"/>
      <c r="B12" s="77" t="s">
        <v>65</v>
      </c>
      <c r="C12" s="77"/>
      <c r="D12" s="77"/>
      <c r="E12" s="7">
        <v>0</v>
      </c>
      <c r="F12" s="40" t="s">
        <v>3</v>
      </c>
      <c r="G12" s="1"/>
    </row>
    <row r="13" spans="1:9" x14ac:dyDescent="0.25">
      <c r="A13" s="1"/>
      <c r="B13" s="77" t="s">
        <v>61</v>
      </c>
      <c r="C13" s="77"/>
      <c r="D13" s="77"/>
      <c r="E13" s="8">
        <v>0</v>
      </c>
      <c r="F13" s="40" t="s">
        <v>3</v>
      </c>
      <c r="G13" s="1"/>
    </row>
    <row r="14" spans="1:9" x14ac:dyDescent="0.25">
      <c r="A14" s="1"/>
      <c r="B14" s="77" t="s">
        <v>18</v>
      </c>
      <c r="C14" s="77"/>
      <c r="D14" s="77"/>
      <c r="E14" s="8">
        <f>SUM(E9:E13)*'Fane 10. Nøgletal'!C13</f>
        <v>99534.943095562412</v>
      </c>
      <c r="F14" s="40" t="s">
        <v>3</v>
      </c>
      <c r="G14" s="1"/>
    </row>
    <row r="15" spans="1:9" x14ac:dyDescent="0.25">
      <c r="A15" s="1"/>
      <c r="B15" s="77" t="s">
        <v>54</v>
      </c>
      <c r="C15" s="77"/>
      <c r="D15" s="77"/>
      <c r="E15" s="8">
        <f>-SUM(E9:E14)*'Fane 10. Nøgletal'!C19</f>
        <v>-140388.32621496564</v>
      </c>
      <c r="F15" s="40" t="s">
        <v>3</v>
      </c>
      <c r="G15" s="1"/>
    </row>
    <row r="16" spans="1:9" x14ac:dyDescent="0.25">
      <c r="A16" s="1"/>
      <c r="B16" s="78" t="s">
        <v>20</v>
      </c>
      <c r="C16" s="78"/>
      <c r="D16" s="78"/>
      <c r="E16" s="9">
        <f>SUM(E9:E15)</f>
        <v>8117748.5099594826</v>
      </c>
      <c r="F16" s="44" t="s">
        <v>3</v>
      </c>
      <c r="G16" s="1"/>
    </row>
    <row r="17" spans="1:7" x14ac:dyDescent="0.25">
      <c r="A17" s="1"/>
      <c r="B17" s="79" t="s">
        <v>12</v>
      </c>
      <c r="C17" s="79"/>
      <c r="D17" s="79"/>
      <c r="E17" s="43"/>
      <c r="F17" s="43"/>
      <c r="G17" s="1"/>
    </row>
    <row r="18" spans="1:7" x14ac:dyDescent="0.25">
      <c r="A18" s="1"/>
      <c r="B18" s="80" t="s">
        <v>12</v>
      </c>
      <c r="C18" s="80"/>
      <c r="D18" s="80"/>
      <c r="E18" s="9">
        <v>6456121.7722923597</v>
      </c>
      <c r="F18" s="44" t="s">
        <v>3</v>
      </c>
      <c r="G18" s="1"/>
    </row>
    <row r="19" spans="1:7" ht="15.4" customHeight="1" x14ac:dyDescent="0.25">
      <c r="A19" s="1"/>
      <c r="B19" s="43" t="s">
        <v>42</v>
      </c>
      <c r="C19" s="43"/>
      <c r="D19" s="43"/>
      <c r="E19" s="43"/>
      <c r="F19" s="43"/>
      <c r="G19" s="1"/>
    </row>
    <row r="20" spans="1:7" ht="15.75" customHeight="1" x14ac:dyDescent="0.25">
      <c r="A20" s="1"/>
      <c r="B20" s="81" t="s">
        <v>39</v>
      </c>
      <c r="C20" s="82"/>
      <c r="D20" s="83"/>
      <c r="E20" s="37">
        <v>0</v>
      </c>
      <c r="F20" s="32" t="s">
        <v>3</v>
      </c>
      <c r="G20" s="1"/>
    </row>
    <row r="21" spans="1:7" x14ac:dyDescent="0.25">
      <c r="A21" s="1"/>
      <c r="B21" s="81" t="s">
        <v>40</v>
      </c>
      <c r="C21" s="82"/>
      <c r="D21" s="83"/>
      <c r="E21" s="37">
        <v>0</v>
      </c>
      <c r="F21" s="32" t="s">
        <v>3</v>
      </c>
      <c r="G21" s="1"/>
    </row>
    <row r="22" spans="1:7" x14ac:dyDescent="0.25">
      <c r="A22" s="1"/>
      <c r="B22" s="84" t="s">
        <v>43</v>
      </c>
      <c r="C22" s="85"/>
      <c r="D22" s="86"/>
      <c r="E22" s="9">
        <v>0</v>
      </c>
      <c r="F22" s="9" t="s">
        <v>3</v>
      </c>
      <c r="G22" s="1"/>
    </row>
    <row r="23" spans="1:7" ht="15.75" customHeight="1" x14ac:dyDescent="0.25">
      <c r="A23" s="1"/>
      <c r="B23" s="43" t="s">
        <v>85</v>
      </c>
      <c r="C23" s="43"/>
      <c r="D23" s="43"/>
      <c r="E23" s="43"/>
      <c r="F23" s="43"/>
      <c r="G23" s="1"/>
    </row>
    <row r="24" spans="1:7" x14ac:dyDescent="0.25">
      <c r="A24" s="1"/>
      <c r="B24" s="51" t="s">
        <v>31</v>
      </c>
      <c r="C24" s="42"/>
      <c r="D24" s="42"/>
      <c r="E24" s="9">
        <v>238735.04603497213</v>
      </c>
      <c r="F24" s="44" t="s">
        <v>3</v>
      </c>
      <c r="G24" s="1"/>
    </row>
    <row r="25" spans="1:7" x14ac:dyDescent="0.25">
      <c r="A25" s="1"/>
      <c r="B25" s="51" t="s">
        <v>86</v>
      </c>
      <c r="C25" s="42"/>
      <c r="D25" s="42"/>
      <c r="E25" s="9">
        <v>-883037.37097601499</v>
      </c>
      <c r="F25" s="44" t="s">
        <v>3</v>
      </c>
      <c r="G25" s="1"/>
    </row>
    <row r="26" spans="1:7" ht="15" customHeight="1" x14ac:dyDescent="0.25">
      <c r="A26" s="1"/>
      <c r="B26" s="43" t="s">
        <v>25</v>
      </c>
      <c r="C26" s="43"/>
      <c r="D26" s="43"/>
      <c r="E26" s="10">
        <f>E16+E18+E22+E24+E25</f>
        <v>13929567.9573108</v>
      </c>
      <c r="F26" s="11" t="s">
        <v>3</v>
      </c>
      <c r="G26" s="1"/>
    </row>
    <row r="27" spans="1:7" ht="27" customHeight="1" x14ac:dyDescent="0.25">
      <c r="A27" s="1"/>
      <c r="B27" s="76" t="s">
        <v>120</v>
      </c>
      <c r="C27" s="76"/>
      <c r="D27" s="76"/>
      <c r="E27" s="76"/>
      <c r="F27" s="76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/X3tljB5B+qryVKc/awD/zpmjh/sWFRbpj+nNEkSXzD1ct46n0Bplg4SE4lf9lRm94VZJkUCCD9u9cEPYUG5hg==" saltValue="Q18IK3NwcsG4ntAN5FWiG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53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107</v>
      </c>
      <c r="C8" s="90"/>
      <c r="D8" s="91"/>
      <c r="E8" s="1"/>
      <c r="F8" s="1"/>
    </row>
    <row r="9" spans="1:6" ht="15" customHeight="1" x14ac:dyDescent="0.25">
      <c r="A9" s="1"/>
      <c r="B9" s="17" t="s">
        <v>29</v>
      </c>
      <c r="C9" s="44" t="s">
        <v>106</v>
      </c>
      <c r="D9" s="44"/>
      <c r="E9" s="1"/>
      <c r="F9" s="1"/>
    </row>
    <row r="10" spans="1:6" ht="15" customHeight="1" x14ac:dyDescent="0.25">
      <c r="A10" s="1"/>
      <c r="B10" s="28" t="s">
        <v>131</v>
      </c>
      <c r="C10" s="8">
        <v>4242261</v>
      </c>
      <c r="D10" s="12" t="s">
        <v>3</v>
      </c>
      <c r="E10" s="1"/>
      <c r="F10" s="1"/>
    </row>
    <row r="11" spans="1:6" x14ac:dyDescent="0.25">
      <c r="A11" s="1"/>
      <c r="B11" s="28" t="s">
        <v>132</v>
      </c>
      <c r="C11" s="8">
        <v>11138</v>
      </c>
      <c r="D11" s="12" t="s">
        <v>3</v>
      </c>
      <c r="E11" s="1"/>
      <c r="F11" s="1"/>
    </row>
    <row r="12" spans="1:6" x14ac:dyDescent="0.25">
      <c r="A12" s="1"/>
      <c r="B12" s="28" t="s">
        <v>133</v>
      </c>
      <c r="C12" s="8">
        <v>1914518</v>
      </c>
      <c r="D12" s="12" t="s">
        <v>3</v>
      </c>
      <c r="E12" s="1"/>
      <c r="F12" s="1"/>
    </row>
    <row r="13" spans="1:6" x14ac:dyDescent="0.25">
      <c r="A13" s="1"/>
      <c r="B13" s="28" t="s">
        <v>134</v>
      </c>
      <c r="C13" s="8">
        <v>48874</v>
      </c>
      <c r="D13" s="12" t="s">
        <v>3</v>
      </c>
      <c r="E13" s="1"/>
      <c r="F13" s="1"/>
    </row>
    <row r="14" spans="1:6" x14ac:dyDescent="0.25">
      <c r="A14" s="1"/>
      <c r="B14" s="57" t="s">
        <v>108</v>
      </c>
      <c r="C14" s="10">
        <f>SUM(C10:C13)</f>
        <v>6216791</v>
      </c>
      <c r="D14" s="11" t="s">
        <v>3</v>
      </c>
      <c r="E14" s="1"/>
      <c r="F14" s="1"/>
    </row>
    <row r="15" spans="1:6" x14ac:dyDescent="0.25">
      <c r="A15" s="1"/>
      <c r="B15" s="57" t="s">
        <v>109</v>
      </c>
      <c r="C15" s="10">
        <f>C14*(1+'Fane 10. Nøgletal'!C14)^2</f>
        <v>6257889.5214539906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9KmBsZruqJKkRVo+GD7Kg7IYbweOgcf9u9XAHe/wci8wSEXkQTF0aCRfiiIEhuigZaFCrcwtgyzmKrlSOzJNPA==" saltValue="++jZ3mGd9UYQMIBcfaU9u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topLeftCell="A7" zoomScaleNormal="100" workbookViewId="0">
      <selection activeCell="J30" sqref="J30"/>
    </sheetView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7" t="s">
        <v>153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39"/>
      <c r="C6" s="39"/>
      <c r="D6" s="39"/>
      <c r="E6" s="39"/>
      <c r="F6" s="3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136</v>
      </c>
      <c r="C8" s="90"/>
      <c r="D8" s="90"/>
      <c r="E8" s="90"/>
      <c r="F8" s="91"/>
      <c r="G8" s="1"/>
    </row>
    <row r="9" spans="1:7" x14ac:dyDescent="0.25">
      <c r="A9" s="1"/>
      <c r="B9" s="92" t="s">
        <v>137</v>
      </c>
      <c r="C9" s="93"/>
      <c r="D9" s="94"/>
      <c r="E9" s="8">
        <v>216530.18366666697</v>
      </c>
      <c r="F9" s="12" t="s">
        <v>3</v>
      </c>
      <c r="G9" s="1"/>
    </row>
    <row r="10" spans="1:7" x14ac:dyDescent="0.25">
      <c r="A10" s="1"/>
      <c r="B10" s="92" t="s">
        <v>138</v>
      </c>
      <c r="C10" s="93"/>
      <c r="D10" s="94"/>
      <c r="E10" s="8">
        <v>-1212589.925618697</v>
      </c>
      <c r="F10" s="12" t="s">
        <v>3</v>
      </c>
      <c r="G10" s="1"/>
    </row>
    <row r="11" spans="1:7" x14ac:dyDescent="0.25">
      <c r="A11" s="1"/>
      <c r="B11" s="92" t="s">
        <v>139</v>
      </c>
      <c r="C11" s="93"/>
      <c r="D11" s="94"/>
      <c r="E11" s="8">
        <v>-770014.93158519641</v>
      </c>
      <c r="F11" s="12" t="s">
        <v>3</v>
      </c>
      <c r="G11" s="1"/>
    </row>
    <row r="12" spans="1:7" x14ac:dyDescent="0.25">
      <c r="A12" s="1"/>
      <c r="B12" s="57"/>
      <c r="C12" s="22"/>
      <c r="D12" s="22"/>
      <c r="E12" s="22"/>
      <c r="F12" s="58"/>
      <c r="G12" s="1"/>
    </row>
    <row r="13" spans="1:7" ht="51.75" customHeight="1" x14ac:dyDescent="0.25">
      <c r="A13" s="1"/>
      <c r="B13" s="95" t="s">
        <v>140</v>
      </c>
      <c r="C13" s="96"/>
      <c r="D13" s="96"/>
      <c r="E13" s="96"/>
      <c r="F13" s="97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141</v>
      </c>
      <c r="C15" s="90"/>
      <c r="D15" s="90"/>
      <c r="E15" s="90"/>
      <c r="F15" s="91"/>
      <c r="G15" s="1"/>
    </row>
    <row r="16" spans="1:7" x14ac:dyDescent="0.25">
      <c r="A16" s="1"/>
      <c r="B16" s="92" t="s">
        <v>142</v>
      </c>
      <c r="C16" s="93"/>
      <c r="D16" s="94"/>
      <c r="E16" s="8">
        <v>-883037.37097601499</v>
      </c>
      <c r="F16" s="12" t="s">
        <v>3</v>
      </c>
      <c r="G16" s="1"/>
    </row>
    <row r="17" spans="1:7" x14ac:dyDescent="0.25">
      <c r="A17" s="1"/>
      <c r="B17" s="92" t="s">
        <v>143</v>
      </c>
      <c r="C17" s="93"/>
      <c r="D17" s="94"/>
      <c r="E17" s="8">
        <v>-883037.37097601499</v>
      </c>
      <c r="F17" s="12" t="s">
        <v>3</v>
      </c>
      <c r="G17" s="1"/>
    </row>
    <row r="18" spans="1:7" x14ac:dyDescent="0.25">
      <c r="A18" s="1"/>
      <c r="B18" s="57"/>
      <c r="C18" s="22"/>
      <c r="D18" s="22"/>
      <c r="E18" s="22"/>
      <c r="F18" s="58"/>
      <c r="G18" s="1"/>
    </row>
    <row r="19" spans="1:7" ht="29.25" customHeight="1" x14ac:dyDescent="0.25">
      <c r="A19" s="1"/>
      <c r="B19" s="95" t="s">
        <v>144</v>
      </c>
      <c r="C19" s="96"/>
      <c r="D19" s="96"/>
      <c r="E19" s="96"/>
      <c r="F19" s="9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8" t="s">
        <v>122</v>
      </c>
      <c r="C21" s="49"/>
      <c r="D21" s="49"/>
      <c r="E21" s="49"/>
      <c r="F21" s="50"/>
      <c r="G21" s="1"/>
    </row>
    <row r="22" spans="1:7" x14ac:dyDescent="0.25">
      <c r="A22" s="1"/>
      <c r="B22" s="52" t="s">
        <v>123</v>
      </c>
      <c r="C22" s="53"/>
      <c r="D22" s="54"/>
      <c r="E22" s="8">
        <v>13786381.016658992</v>
      </c>
      <c r="F22" s="12" t="s">
        <v>3</v>
      </c>
      <c r="G22" s="1"/>
    </row>
    <row r="23" spans="1:7" x14ac:dyDescent="0.25">
      <c r="A23" s="1"/>
      <c r="B23" s="52" t="s">
        <v>124</v>
      </c>
      <c r="C23" s="53"/>
      <c r="D23" s="54"/>
      <c r="E23" s="8">
        <v>13933385</v>
      </c>
      <c r="F23" s="12" t="s">
        <v>3</v>
      </c>
      <c r="G23" s="1"/>
    </row>
    <row r="24" spans="1:7" x14ac:dyDescent="0.25">
      <c r="A24" s="1"/>
      <c r="B24" s="52" t="s">
        <v>30</v>
      </c>
      <c r="C24" s="53"/>
      <c r="D24" s="54"/>
      <c r="E24" s="8">
        <v>0</v>
      </c>
      <c r="F24" s="12" t="s">
        <v>3</v>
      </c>
      <c r="G24" s="1"/>
    </row>
    <row r="25" spans="1:7" x14ac:dyDescent="0.25">
      <c r="A25" s="1"/>
      <c r="B25" s="45" t="s">
        <v>125</v>
      </c>
      <c r="C25" s="46"/>
      <c r="D25" s="47"/>
      <c r="E25" s="34">
        <f>E22-(E23-E24)</f>
        <v>-147003.98334100842</v>
      </c>
      <c r="F25" s="15" t="s">
        <v>3</v>
      </c>
      <c r="G25" s="1"/>
    </row>
    <row r="26" spans="1:7" x14ac:dyDescent="0.25">
      <c r="A26" s="1"/>
      <c r="B26" s="57"/>
      <c r="C26" s="22"/>
      <c r="D26" s="22"/>
      <c r="E26" s="22"/>
      <c r="F26" s="58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9" t="s">
        <v>145</v>
      </c>
      <c r="C28" s="90"/>
      <c r="D28" s="90"/>
      <c r="E28" s="90"/>
      <c r="F28" s="91"/>
      <c r="G28" s="1"/>
    </row>
    <row r="29" spans="1:7" x14ac:dyDescent="0.25">
      <c r="A29" s="1"/>
      <c r="B29" s="84" t="s">
        <v>146</v>
      </c>
      <c r="C29" s="85"/>
      <c r="D29" s="86"/>
      <c r="E29" s="9">
        <f>E17</f>
        <v>-883037.37097601499</v>
      </c>
      <c r="F29" s="15" t="s">
        <v>3</v>
      </c>
      <c r="G29" s="1"/>
    </row>
    <row r="30" spans="1:7" x14ac:dyDescent="0.25">
      <c r="A30" s="1"/>
      <c r="B30" s="89"/>
      <c r="C30" s="90"/>
      <c r="D30" s="90"/>
      <c r="E30" s="90"/>
      <c r="F30" s="9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147</v>
      </c>
      <c r="C32" s="90"/>
      <c r="D32" s="90"/>
      <c r="E32" s="90"/>
      <c r="F32" s="91"/>
      <c r="G32" s="1"/>
    </row>
    <row r="33" spans="1:7" x14ac:dyDescent="0.2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-147003.98334100842</v>
      </c>
      <c r="F33" s="12" t="s">
        <v>3</v>
      </c>
      <c r="G33" s="1"/>
    </row>
    <row r="34" spans="1:7" x14ac:dyDescent="0.2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25">
      <c r="A35" s="1"/>
      <c r="B35" s="104" t="s">
        <v>148</v>
      </c>
      <c r="C35" s="104"/>
      <c r="D35" s="104"/>
      <c r="E35" s="9">
        <f>E33/E34</f>
        <v>-36750.995835252106</v>
      </c>
      <c r="F35" s="15" t="s">
        <v>3</v>
      </c>
      <c r="G35" s="1"/>
    </row>
    <row r="36" spans="1:7" x14ac:dyDescent="0.25">
      <c r="A36" s="1"/>
      <c r="B36" s="98"/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dvHUoidvodwirFC4OMmfJKMLyDrNzdfdgCZ8aBQUNyS1UDgwYqyvZtuDdBznU60r/AiToinRxvPkrBYAOtdbeg==" saltValue="Zn6YvgFsAzZt6QAIWisCi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4:D34"/>
    <mergeCell ref="B33:D33"/>
    <mergeCell ref="B32:F32"/>
    <mergeCell ref="B35:D35"/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4" t="s">
        <v>2</v>
      </c>
      <c r="F9" s="44" t="s">
        <v>11</v>
      </c>
      <c r="G9" s="44" t="s">
        <v>27</v>
      </c>
      <c r="H9" s="56"/>
      <c r="I9" s="1"/>
    </row>
    <row r="10" spans="1:9" x14ac:dyDescent="0.25">
      <c r="A10" s="1"/>
      <c r="B10" s="35" t="s">
        <v>152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bbINHlTFMh7xSgc8v48JuIjD15Q5thLa96AW4ldWN72B9NVg2xhYuMueXGN4bBd7W5MBUJEKO0Va9+ckf4tcA==" saltValue="AmZklgr3jdB9EgSQus0zW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Amanda Fehler Vallgårda</cp:lastModifiedBy>
  <cp:lastPrinted>2016-06-14T12:57:30Z</cp:lastPrinted>
  <dcterms:created xsi:type="dcterms:W3CDTF">2016-06-02T08:51:18Z</dcterms:created>
  <dcterms:modified xsi:type="dcterms:W3CDTF">2022-06-13T07:16:41Z</dcterms:modified>
</cp:coreProperties>
</file>