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RINGKØBING-SKJERN VAND AS (V153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5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1" i="37" s="1"/>
  <c r="C12" i="37" s="1"/>
  <c r="C12" i="2" s="1"/>
  <c r="E11" i="21"/>
  <c r="E12" i="21" s="1"/>
  <c r="C11" i="21"/>
  <c r="C12" i="21" s="1"/>
  <c r="E11" i="29"/>
  <c r="E12" i="29" s="1"/>
  <c r="C16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1" i="37" s="1"/>
  <c r="E12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<sst xmlns="http://schemas.openxmlformats.org/spreadsheetml/2006/main" count="619" uniqueCount="254">
  <si>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</si>
  <si>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</si>
  <si>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</si>
  <si>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</si>
  <si>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</si>
  <si>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</si>
  <si>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</si>
  <si>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</si>
  <si>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</si>
  <si>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</si>
  <si>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</si>
  <si>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</si>
  <si>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</si>
  <si>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</si>
  <si>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</si>
  <si>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</si>
  <si>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</si>
  <si>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</si>
  <si>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</si>
  <si>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</si>
  <si>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</si>
  <si>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</si>
  <si>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</si>
  <si>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</si>
  <si>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</si>
  <si>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</si>
  <si>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</si>
  <si>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</si>
  <si>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</si>
  <si>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</si>
  <si>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</si>
  <si>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</si>
  <si>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</si>
  <si>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</si>
  <si>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</si>
  <si>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</si>
  <si>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</si>
  <si>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</si>
  <si>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</si>
  <si>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</si>
  <si>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</si>
  <si>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</si>
  <si>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</si>
  <si>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</si>
  <si>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</si>
  <si>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</si>
  <si>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</si>
  <si>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</si>
  <si>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</si>
  <si>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</si>
  <si>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</si>
  <si>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</si>
  <si>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</si>
  <si>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</si>
  <si>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</si>
  <si>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</si>
  <si>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</si>
  <si>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</si>
  <si>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</si>
  <si>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</si>
  <si>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</si>
  <si>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</si>
  <si>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</si>
  <si>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</si>
  <si>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</si>
  <si>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</si>
  <si>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</si>
  <si>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</si>
  <si>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</si>
  <si>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</si>
  <si>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</si>
  <si>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</si>
  <si>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</si>
  <si>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</si>
  <si>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</si>
  <si>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</si>
  <si>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</si>
  <si>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</si>
  <si>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</si>
  <si>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</si>
  <si>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</si>
  <si>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</si>
  <si>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</si>
  <si>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</si>
  <si>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</si>
  <si>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</si>
  <si>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</si>
  <si>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</si>
  <si>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</si>
  <si>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</si>
  <si>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</si>
  <si>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</si>
  <si>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</si>
  <si>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</si>
  <si>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</si>
  <si>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</si>
  <si>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</si>
  <si>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</si>
  <si>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</si>
  <si>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</si>
  <si>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</si>
  <si>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</si>
  <si>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</si>
  <si>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</si>
  <si>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</si>
  <si>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</si>
  <si>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</si>
  <si>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</si>
  <si>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</si>
  <si>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</si>
  <si>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</si>
  <si>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</si>
  <si>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</si>
  <si>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</si>
  <si>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</si>
  <si>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</si>
  <si>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</si>
  <si>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</si>
  <si>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</si>
  <si>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</si>
  <si>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</si>
  <si>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</si>
  <si>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</si>
  <si>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</si>
  <si>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</si>
  <si>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</si>
  <si>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</si>
  <si>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</si>
  <si>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</si>
  <si>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</si>
  <si>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</si>
  <si>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</si>
  <si>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</si>
  <si>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</si>
  <si>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</si>
  <si>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</si>
  <si>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</si>
  <si>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</si>
  <si>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</si>
  <si>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</si>
  <si>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</si>
  <si>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</si>
  <si>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</si>
  <si>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</si>
  <si>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</si>
  <si>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</si>
  <si>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</si>
  <si>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</si>
  <si>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</si>
  <si>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</si>
  <si>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</si>
  <si>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</si>
  <si>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</si>
  <si>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</si>
  <si>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</si>
  <si>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</si>
  <si>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</si>
  <si>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</si>
  <si>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</si>
  <si>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</si>
  <si>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</si>
  <si>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</si>
  <si>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</si>
  <si>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</si>
  <si>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</si>
  <si>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</si>
  <si>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</si>
  <si>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</si>
  <si>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</si>
  <si>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</si>
  <si>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</si>
  <si>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</si>
  <si>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</si>
  <si>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</si>
  <si>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</si>
  <si>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</si>
  <si>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</si>
  <si>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</si>
  <si>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</si>
  <si>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</si>
  <si>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</si>
  <si>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</si>
  <si>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</si>
  <si>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</si>
  <si>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</si>
  <si>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</si>
  <si>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</si>
  <si>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</si>
  <si>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</si>
  <si>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</si>
  <si>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</si>
  <si>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</si>
  <si>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</si>
  <si>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</si>
  <si>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</si>
  <si>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</si>
  <si>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</si>
  <si>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</si>
  <si>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</si>
  <si>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</si>
  <si>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</si>
  <si>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</si>
  <si>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</si>
  <si>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</si>
  <si>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</si>
  <si>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</si>
  <si>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</si>
  <si>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</si>
  <si>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</si>
  <si>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</si>
  <si>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</si>
  <si>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</si>
  <si>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</si>
  <si>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</si>
  <si>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</si>
  <si>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</si>
  <si>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</si>
  <si>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</si>
  <si>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</si>
  <si>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</si>
  <si>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</si>
  <si>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</si>
  <si>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</si>
  <si>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</si>
  <si>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</si>
  <si>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</si>
  <si>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</si>
  <si>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</si>
  <si>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</si>
  <si>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</si>
  <si>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Ejendomsskat</t>
  </si>
  <si>
    <t>Ingen engangstillæg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</si>
  <si>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</si>
  <si>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</si>
  <si>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</si>
  <si>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</si>
  <si>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</si>
  <si>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</si>
  <si>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</si>
  <si>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</si>
  <si>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</si>
  <si>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</si>
  <si>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</si>
  <si>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</si>
  <si>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</si>
  <si>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</si>
  <si>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</si>
  <si>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</si>
  <si>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</si>
  <si>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</si>
  <si>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</si>
  <si>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</si>
  <si>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Tilbagebetaling af sambeskatningsbidrag som følge af skattesagen</t>
  </si>
  <si>
    <t>Erstatninger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</si>
</sst>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166" fontId="8" fillId="8" borderId="1" xfId="1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5" t="s">
        <v>4</v>
      </c>
      <c r="E6" s="75"/>
      <c r="F6" s="75"/>
      <c r="G6" s="75"/>
      <c r="H6" s="3"/>
      <c r="I6" s="1"/>
    </row>
    <row r="7" spans="1:9" ht="15" customHeight="1" x14ac:dyDescent="0.25">
      <c r="A7" s="1"/>
      <c r="B7" s="1"/>
      <c r="C7" s="3"/>
      <c r="D7" s="75"/>
      <c r="E7" s="75"/>
      <c r="F7" s="75"/>
      <c r="G7" s="75"/>
      <c r="H7" s="3"/>
      <c r="I7" s="1"/>
    </row>
    <row r="8" spans="1:9" ht="15.75" x14ac:dyDescent="0.25">
      <c r="A8" s="1"/>
      <c r="B8" s="1"/>
      <c r="C8" s="4"/>
      <c r="D8" s="80" t="s">
        <v>180</v>
      </c>
      <c r="E8" s="80"/>
      <c r="F8" s="80"/>
      <c r="G8" s="8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9" t="s">
        <v>5</v>
      </c>
      <c r="E11" s="79"/>
      <c r="F11" s="79"/>
      <c r="G11" s="7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2" t="s">
        <v>163</v>
      </c>
      <c r="E13" s="73"/>
      <c r="F13" s="73"/>
      <c r="G13" s="74"/>
      <c r="H13" s="1"/>
      <c r="I13" s="1"/>
    </row>
    <row r="14" spans="1:9" x14ac:dyDescent="0.25">
      <c r="A14" s="1"/>
      <c r="B14" s="1"/>
      <c r="C14" s="6" t="s">
        <v>15</v>
      </c>
      <c r="D14" s="72" t="s">
        <v>83</v>
      </c>
      <c r="E14" s="73"/>
      <c r="F14" s="73"/>
      <c r="G14" s="74"/>
      <c r="H14" s="1"/>
      <c r="I14" s="1"/>
    </row>
    <row r="15" spans="1:9" x14ac:dyDescent="0.25">
      <c r="A15" s="1"/>
      <c r="B15" s="1"/>
      <c r="C15" s="6" t="s">
        <v>35</v>
      </c>
      <c r="D15" s="72" t="s">
        <v>128</v>
      </c>
      <c r="E15" s="73"/>
      <c r="F15" s="73"/>
      <c r="G15" s="74"/>
      <c r="H15" s="1"/>
      <c r="I15" s="1"/>
    </row>
    <row r="16" spans="1:9" x14ac:dyDescent="0.25">
      <c r="A16" s="1"/>
      <c r="B16" s="1"/>
      <c r="C16" s="6" t="s">
        <v>36</v>
      </c>
      <c r="D16" s="72" t="s">
        <v>181</v>
      </c>
      <c r="E16" s="73"/>
      <c r="F16" s="73"/>
      <c r="G16" s="74"/>
      <c r="H16" s="1"/>
      <c r="I16" s="1"/>
    </row>
    <row r="17" spans="1:9" x14ac:dyDescent="0.25">
      <c r="A17" s="1"/>
      <c r="B17" s="1"/>
      <c r="C17" s="6" t="s">
        <v>127</v>
      </c>
      <c r="D17" s="72" t="s">
        <v>182</v>
      </c>
      <c r="E17" s="73"/>
      <c r="F17" s="73"/>
      <c r="G17" s="74"/>
      <c r="H17" s="1"/>
      <c r="I17" s="1"/>
    </row>
    <row r="18" spans="1:9" x14ac:dyDescent="0.25">
      <c r="A18" s="1"/>
      <c r="B18" s="1"/>
      <c r="C18" s="32" t="s">
        <v>111</v>
      </c>
      <c r="D18" s="81" t="s">
        <v>100</v>
      </c>
      <c r="E18" s="82"/>
      <c r="F18" s="82"/>
      <c r="G18" s="83"/>
      <c r="H18" s="1"/>
      <c r="I18" s="1"/>
    </row>
    <row r="19" spans="1:9" x14ac:dyDescent="0.25">
      <c r="A19" s="1"/>
      <c r="B19" s="1"/>
      <c r="C19" s="32" t="s">
        <v>112</v>
      </c>
      <c r="D19" s="81" t="s">
        <v>101</v>
      </c>
      <c r="E19" s="82"/>
      <c r="F19" s="82"/>
      <c r="G19" s="83"/>
      <c r="H19" s="1"/>
      <c r="I19" s="1"/>
    </row>
    <row r="20" spans="1:9" x14ac:dyDescent="0.25">
      <c r="A20" s="1"/>
      <c r="B20" s="1"/>
      <c r="C20" s="32" t="s">
        <v>7</v>
      </c>
      <c r="D20" s="81" t="s">
        <v>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113</v>
      </c>
      <c r="D21" s="87" t="s">
        <v>12</v>
      </c>
      <c r="E21" s="88"/>
      <c r="F21" s="88"/>
      <c r="G21" s="89"/>
      <c r="H21" s="1"/>
      <c r="I21" s="1"/>
    </row>
    <row r="22" spans="1:9" x14ac:dyDescent="0.25">
      <c r="A22" s="1"/>
      <c r="B22" s="1"/>
      <c r="C22" s="6" t="s">
        <v>87</v>
      </c>
      <c r="D22" s="76" t="s">
        <v>183</v>
      </c>
      <c r="E22" s="77"/>
      <c r="F22" s="77"/>
      <c r="G22" s="78"/>
      <c r="H22" s="1"/>
      <c r="I22" s="1"/>
    </row>
    <row r="23" spans="1:9" x14ac:dyDescent="0.25">
      <c r="A23" s="1"/>
      <c r="B23" s="1"/>
      <c r="C23" s="6" t="s">
        <v>8</v>
      </c>
      <c r="D23" s="76" t="s">
        <v>37</v>
      </c>
      <c r="E23" s="77"/>
      <c r="F23" s="77"/>
      <c r="G23" s="78"/>
      <c r="H23" s="1"/>
      <c r="I23" s="1"/>
    </row>
    <row r="24" spans="1:9" x14ac:dyDescent="0.25">
      <c r="A24" s="1"/>
      <c r="B24" s="1"/>
      <c r="C24" s="6" t="s">
        <v>170</v>
      </c>
      <c r="D24" s="76" t="s">
        <v>88</v>
      </c>
      <c r="E24" s="77"/>
      <c r="F24" s="77"/>
      <c r="G24" s="78"/>
      <c r="H24" s="1"/>
      <c r="I24" s="1"/>
    </row>
    <row r="25" spans="1:9" x14ac:dyDescent="0.25">
      <c r="A25" s="1"/>
      <c r="B25" s="1"/>
      <c r="C25" s="6" t="s">
        <v>171</v>
      </c>
      <c r="D25" s="76" t="s">
        <v>89</v>
      </c>
      <c r="E25" s="77"/>
      <c r="F25" s="77"/>
      <c r="G25" s="78"/>
      <c r="H25" s="1"/>
      <c r="I25" s="1"/>
    </row>
    <row r="26" spans="1:9" x14ac:dyDescent="0.25">
      <c r="A26" s="1"/>
      <c r="B26" s="1"/>
      <c r="C26" s="6" t="s">
        <v>172</v>
      </c>
      <c r="D26" s="76" t="s">
        <v>129</v>
      </c>
      <c r="E26" s="77"/>
      <c r="F26" s="77"/>
      <c r="G26" s="78"/>
      <c r="H26" s="1"/>
      <c r="I26" s="1"/>
    </row>
    <row r="27" spans="1:9" x14ac:dyDescent="0.25">
      <c r="A27" s="1"/>
      <c r="B27" s="1"/>
      <c r="C27" s="6" t="s">
        <v>114</v>
      </c>
      <c r="D27" s="76" t="s">
        <v>38</v>
      </c>
      <c r="E27" s="77"/>
      <c r="F27" s="77"/>
      <c r="G27" s="78"/>
      <c r="H27" s="1"/>
      <c r="I27" s="1"/>
    </row>
    <row r="28" spans="1:9" x14ac:dyDescent="0.25">
      <c r="A28" s="1"/>
      <c r="B28" s="1"/>
      <c r="C28" s="6" t="s">
        <v>108</v>
      </c>
      <c r="D28" s="84" t="s">
        <v>109</v>
      </c>
      <c r="E28" s="85"/>
      <c r="F28" s="85"/>
      <c r="G28" s="86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K6pueMVedIs6Rp/KkMNDx7hJmcGHJ7xdhYkvDpG3QuuoRW6vM1282I8uAuZmBU8e/pr06w2D77Gk+jrrCV5pw==" saltValue="/RufWT03f8qpQ5cLcVccFg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90" t="s">
        <v>117</v>
      </c>
      <c r="C3" s="90"/>
      <c r="D3" s="90"/>
      <c r="E3" s="1"/>
      <c r="F3" s="1"/>
    </row>
    <row r="4" spans="1:6" ht="15" customHeight="1" x14ac:dyDescent="0.25">
      <c r="A4" s="1"/>
      <c r="B4" s="90"/>
      <c r="C4" s="90"/>
      <c r="D4" s="90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6" t="s">
        <v>203</v>
      </c>
      <c r="C8" s="117"/>
      <c r="D8" s="118"/>
      <c r="E8" s="1"/>
      <c r="F8" s="1"/>
    </row>
    <row r="9" spans="1:6" ht="15" customHeight="1" x14ac:dyDescent="0.25">
      <c r="A9" s="1"/>
      <c r="B9" s="55" t="s">
        <v>33</v>
      </c>
      <c r="C9" s="11" t="s">
        <v>204</v>
      </c>
      <c r="D9" s="11"/>
      <c r="E9" s="1"/>
      <c r="F9" s="1"/>
    </row>
    <row r="10" spans="1:6" x14ac:dyDescent="0.25">
      <c r="A10" s="1"/>
      <c r="B10" s="66" t="s">
        <v>228</v>
      </c>
      <c r="C10" s="9">
        <v>22840247</v>
      </c>
      <c r="D10" s="14" t="s">
        <v>3</v>
      </c>
      <c r="E10" s="1"/>
      <c r="F10" s="1"/>
    </row>
    <row r="11" spans="1:6" x14ac:dyDescent="0.25">
      <c r="A11" s="1"/>
      <c r="B11" s="66" t="s">
        <v>229</v>
      </c>
      <c r="C11" s="9">
        <v>110081</v>
      </c>
      <c r="D11" s="14" t="s">
        <v>3</v>
      </c>
      <c r="E11" s="1"/>
      <c r="F11" s="1"/>
    </row>
    <row r="12" spans="1:6" x14ac:dyDescent="0.25">
      <c r="A12" s="1"/>
      <c r="B12" s="66" t="s">
        <v>230</v>
      </c>
      <c r="C12" s="9">
        <v>50623</v>
      </c>
      <c r="D12" s="14" t="s">
        <v>3</v>
      </c>
      <c r="E12" s="1"/>
      <c r="F12" s="1"/>
    </row>
    <row r="13" spans="1:6" x14ac:dyDescent="0.25">
      <c r="A13" s="1"/>
      <c r="B13" s="66" t="s">
        <v>253</v>
      </c>
      <c r="C13" s="9">
        <v>100221.6</v>
      </c>
      <c r="D13" s="14" t="s">
        <v>3</v>
      </c>
      <c r="E13" s="1"/>
      <c r="F13" s="1"/>
    </row>
    <row r="14" spans="1:6" ht="26.25" x14ac:dyDescent="0.25">
      <c r="A14" s="1"/>
      <c r="B14" s="54" t="s">
        <v>252</v>
      </c>
      <c r="C14" s="9">
        <v>4288963</v>
      </c>
      <c r="D14" s="14" t="s">
        <v>3</v>
      </c>
      <c r="E14" s="1"/>
      <c r="F14" s="1"/>
    </row>
    <row r="15" spans="1:6" x14ac:dyDescent="0.25">
      <c r="A15" s="1"/>
      <c r="B15" s="58" t="s">
        <v>205</v>
      </c>
      <c r="C15" s="12">
        <f>SUM(C10:C14)</f>
        <v>27390135.600000001</v>
      </c>
      <c r="D15" s="13" t="s">
        <v>3</v>
      </c>
      <c r="E15" s="1"/>
      <c r="F15" s="1"/>
    </row>
    <row r="16" spans="1:6" x14ac:dyDescent="0.25">
      <c r="A16" s="1"/>
      <c r="B16" s="58" t="s">
        <v>206</v>
      </c>
      <c r="C16" s="12">
        <f>C15*(1+'Fane 12. Nøgletal'!C14)^2</f>
        <v>27571208.77353669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G9WPHn9DLfEa4rztjzdZzgrNB58MnrYoqDSkKpG0hHx2gFdPEWGk3GYfWvWQ3kefpI2+5UPkTSfDOG9oTla/Hw==" saltValue="JcMdYjkdepp9t5q1W9xpw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9" t="s">
        <v>221</v>
      </c>
      <c r="C3" s="109"/>
      <c r="D3" s="109"/>
      <c r="E3" s="109"/>
      <c r="F3" s="109"/>
      <c r="G3" s="1"/>
    </row>
    <row r="4" spans="1:7" ht="15" customHeight="1" x14ac:dyDescent="0.25">
      <c r="A4" s="1"/>
      <c r="B4" s="109"/>
      <c r="C4" s="109"/>
      <c r="D4" s="109"/>
      <c r="E4" s="109"/>
      <c r="F4" s="109"/>
      <c r="G4" s="1"/>
    </row>
    <row r="5" spans="1:7" ht="15" customHeight="1" x14ac:dyDescent="0.25">
      <c r="A5" s="1"/>
      <c r="B5" s="53"/>
      <c r="C5" s="53"/>
      <c r="D5" s="53"/>
      <c r="E5" s="53"/>
      <c r="F5" s="53"/>
      <c r="G5" s="1"/>
    </row>
    <row r="6" spans="1:7" ht="15" customHeight="1" x14ac:dyDescent="0.25">
      <c r="A6" s="1"/>
      <c r="B6" s="53"/>
      <c r="C6" s="53"/>
      <c r="D6" s="53"/>
      <c r="E6" s="53"/>
      <c r="F6" s="53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6" t="s">
        <v>233</v>
      </c>
      <c r="C8" s="117"/>
      <c r="D8" s="117"/>
      <c r="E8" s="117"/>
      <c r="F8" s="118"/>
      <c r="G8" s="1"/>
    </row>
    <row r="9" spans="1:7" x14ac:dyDescent="0.25">
      <c r="A9" s="1"/>
      <c r="B9" s="113" t="s">
        <v>234</v>
      </c>
      <c r="C9" s="114"/>
      <c r="D9" s="115"/>
      <c r="E9" s="9">
        <v>-10735136.688769355</v>
      </c>
      <c r="F9" s="14" t="s">
        <v>3</v>
      </c>
      <c r="G9" s="1"/>
    </row>
    <row r="10" spans="1:7" x14ac:dyDescent="0.25">
      <c r="A10" s="1"/>
      <c r="B10" s="113" t="s">
        <v>235</v>
      </c>
      <c r="C10" s="114"/>
      <c r="D10" s="115"/>
      <c r="E10" s="9">
        <v>3503037.3095982373</v>
      </c>
      <c r="F10" s="14" t="s">
        <v>3</v>
      </c>
      <c r="G10" s="1"/>
    </row>
    <row r="11" spans="1:7" x14ac:dyDescent="0.25">
      <c r="A11" s="1"/>
      <c r="B11" s="113" t="s">
        <v>236</v>
      </c>
      <c r="C11" s="114"/>
      <c r="D11" s="115"/>
      <c r="E11" s="9">
        <v>-3216100.6656967252</v>
      </c>
      <c r="F11" s="14" t="s">
        <v>3</v>
      </c>
      <c r="G11" s="1"/>
    </row>
    <row r="12" spans="1:7" x14ac:dyDescent="0.25">
      <c r="A12" s="1"/>
      <c r="B12" s="113" t="s">
        <v>237</v>
      </c>
      <c r="C12" s="114"/>
      <c r="D12" s="115"/>
      <c r="E12" s="9">
        <f>IF(OR(AND(E10&gt;0,E11&lt;0),AND(E11&lt;0,E34&gt;0)),E17+E18,E11)</f>
        <v>-3216101</v>
      </c>
      <c r="F12" s="14" t="s">
        <v>3</v>
      </c>
      <c r="G12" s="1"/>
    </row>
    <row r="13" spans="1:7" x14ac:dyDescent="0.25">
      <c r="A13" s="1"/>
      <c r="B13" s="58"/>
      <c r="C13" s="59"/>
      <c r="D13" s="59"/>
      <c r="E13" s="59"/>
      <c r="F13" s="20"/>
      <c r="G13" s="1"/>
    </row>
    <row r="14" spans="1:7" ht="54.75" customHeight="1" x14ac:dyDescent="0.25">
      <c r="A14" s="1"/>
      <c r="B14" s="92" t="s">
        <v>238</v>
      </c>
      <c r="C14" s="93"/>
      <c r="D14" s="93"/>
      <c r="E14" s="93"/>
      <c r="F14" s="94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6" t="s">
        <v>239</v>
      </c>
      <c r="C16" s="117"/>
      <c r="D16" s="117"/>
      <c r="E16" s="117"/>
      <c r="F16" s="118"/>
      <c r="G16" s="1"/>
    </row>
    <row r="17" spans="1:7" x14ac:dyDescent="0.25">
      <c r="A17" s="1"/>
      <c r="B17" s="113" t="s">
        <v>240</v>
      </c>
      <c r="C17" s="114"/>
      <c r="D17" s="115"/>
      <c r="E17" s="9">
        <v>-1608050.5</v>
      </c>
      <c r="F17" s="14" t="s">
        <v>3</v>
      </c>
      <c r="G17" s="1"/>
    </row>
    <row r="18" spans="1:7" x14ac:dyDescent="0.25">
      <c r="A18" s="1"/>
      <c r="B18" s="113" t="s">
        <v>241</v>
      </c>
      <c r="C18" s="114"/>
      <c r="D18" s="115"/>
      <c r="E18" s="9">
        <v>-1608050.5</v>
      </c>
      <c r="F18" s="14" t="s">
        <v>3</v>
      </c>
      <c r="G18" s="1"/>
    </row>
    <row r="19" spans="1:7" x14ac:dyDescent="0.25">
      <c r="A19" s="1"/>
      <c r="B19" s="58"/>
      <c r="C19" s="59"/>
      <c r="D19" s="59"/>
      <c r="E19" s="59"/>
      <c r="F19" s="20"/>
      <c r="G19" s="1"/>
    </row>
    <row r="20" spans="1:7" ht="30" customHeight="1" x14ac:dyDescent="0.25">
      <c r="A20" s="1"/>
      <c r="B20" s="92" t="s">
        <v>242</v>
      </c>
      <c r="C20" s="93"/>
      <c r="D20" s="93"/>
      <c r="E20" s="93"/>
      <c r="F20" s="94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60" t="s">
        <v>207</v>
      </c>
      <c r="C22" s="61"/>
      <c r="D22" s="61"/>
      <c r="E22" s="61"/>
      <c r="F22" s="62"/>
      <c r="G22" s="1"/>
    </row>
    <row r="23" spans="1:7" x14ac:dyDescent="0.25">
      <c r="A23" s="1"/>
      <c r="B23" s="63" t="s">
        <v>208</v>
      </c>
      <c r="C23" s="64"/>
      <c r="D23" s="65"/>
      <c r="E23" s="9">
        <v>66967734.24131906</v>
      </c>
      <c r="F23" s="14" t="s">
        <v>3</v>
      </c>
      <c r="G23" s="1"/>
    </row>
    <row r="24" spans="1:7" x14ac:dyDescent="0.25">
      <c r="A24" s="1"/>
      <c r="B24" s="63" t="s">
        <v>209</v>
      </c>
      <c r="C24" s="64"/>
      <c r="D24" s="65"/>
      <c r="E24" s="9">
        <v>66049347</v>
      </c>
      <c r="F24" s="14" t="s">
        <v>3</v>
      </c>
      <c r="G24" s="1"/>
    </row>
    <row r="25" spans="1:7" x14ac:dyDescent="0.25">
      <c r="A25" s="1"/>
      <c r="B25" s="63" t="s">
        <v>34</v>
      </c>
      <c r="C25" s="64"/>
      <c r="D25" s="65"/>
      <c r="E25" s="9">
        <v>0</v>
      </c>
      <c r="F25" s="14" t="s">
        <v>3</v>
      </c>
      <c r="G25" s="1"/>
    </row>
    <row r="26" spans="1:7" x14ac:dyDescent="0.25">
      <c r="A26" s="1"/>
      <c r="B26" s="67" t="s">
        <v>249</v>
      </c>
      <c r="C26" s="68"/>
      <c r="D26" s="69"/>
      <c r="E26" s="45">
        <f>E23-(E24-E25)</f>
        <v>918387.24131906033</v>
      </c>
      <c r="F26" s="17" t="s">
        <v>3</v>
      </c>
      <c r="G26" s="1"/>
    </row>
    <row r="27" spans="1:7" x14ac:dyDescent="0.25">
      <c r="A27" s="1"/>
      <c r="B27" s="58"/>
      <c r="C27" s="59"/>
      <c r="D27" s="59"/>
      <c r="E27" s="59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6" t="s">
        <v>243</v>
      </c>
      <c r="C29" s="117"/>
      <c r="D29" s="117"/>
      <c r="E29" s="117"/>
      <c r="F29" s="118"/>
      <c r="G29" s="1"/>
    </row>
    <row r="30" spans="1:7" x14ac:dyDescent="0.25">
      <c r="A30" s="1"/>
      <c r="B30" s="138" t="s">
        <v>244</v>
      </c>
      <c r="C30" s="139"/>
      <c r="D30" s="140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-689663.25868093967</v>
      </c>
      <c r="F30" s="17" t="s">
        <v>3</v>
      </c>
      <c r="G30" s="1"/>
    </row>
    <row r="31" spans="1:7" x14ac:dyDescent="0.25">
      <c r="A31" s="1"/>
      <c r="B31" s="116"/>
      <c r="C31" s="117"/>
      <c r="D31" s="117"/>
      <c r="E31" s="117"/>
      <c r="F31" s="118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6" t="s">
        <v>245</v>
      </c>
      <c r="C33" s="117"/>
      <c r="D33" s="117"/>
      <c r="E33" s="117"/>
      <c r="F33" s="118"/>
      <c r="G33" s="1"/>
    </row>
    <row r="34" spans="1:7" x14ac:dyDescent="0.25">
      <c r="A34" s="1"/>
      <c r="B34" s="135" t="s">
        <v>250</v>
      </c>
      <c r="C34" s="136"/>
      <c r="D34" s="137"/>
      <c r="E34" s="9">
        <v>2</v>
      </c>
      <c r="F34" s="14"/>
      <c r="G34" s="1"/>
    </row>
    <row r="35" spans="1:7" x14ac:dyDescent="0.25">
      <c r="A35" s="1"/>
      <c r="B35" s="135" t="s">
        <v>161</v>
      </c>
      <c r="C35" s="136"/>
      <c r="D35" s="137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1205323.8852205724</v>
      </c>
      <c r="F35" s="14" t="s">
        <v>3</v>
      </c>
      <c r="G35" s="1"/>
    </row>
    <row r="36" spans="1:7" x14ac:dyDescent="0.25">
      <c r="A36" s="1"/>
      <c r="B36" s="135" t="s">
        <v>110</v>
      </c>
      <c r="C36" s="136"/>
      <c r="D36" s="137"/>
      <c r="E36" s="9">
        <v>4</v>
      </c>
      <c r="F36" s="14" t="s">
        <v>19</v>
      </c>
      <c r="G36" s="1"/>
    </row>
    <row r="37" spans="1:7" x14ac:dyDescent="0.25">
      <c r="A37" s="1"/>
      <c r="B37" s="134" t="s">
        <v>160</v>
      </c>
      <c r="C37" s="134"/>
      <c r="D37" s="134"/>
      <c r="E37" s="10">
        <f>E35/E36</f>
        <v>301330.97130514309</v>
      </c>
      <c r="F37" s="17" t="s">
        <v>3</v>
      </c>
      <c r="G37" s="1"/>
    </row>
    <row r="38" spans="1:7" x14ac:dyDescent="0.25">
      <c r="A38" s="1"/>
      <c r="B38" s="131"/>
      <c r="C38" s="132"/>
      <c r="D38" s="132"/>
      <c r="E38" s="132"/>
      <c r="F38" s="133"/>
      <c r="G38" s="1"/>
    </row>
    <row r="39" spans="1:7" ht="75" customHeight="1" x14ac:dyDescent="0.25">
      <c r="A39" s="1"/>
      <c r="B39" s="92" t="s">
        <v>248</v>
      </c>
      <c r="C39" s="93"/>
      <c r="D39" s="93"/>
      <c r="E39" s="93"/>
      <c r="F39" s="94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OK+QCqIjyo1OCINl5hZa18hCFUouyr3HTD6xjJECOzWf1/PzAjttZWX2URrXayOFOLd01vl8z3uDxtqgVYtk6A==" saltValue="8mMEtfKROhDK71CPKCM9jA==" spinCount="100000" sheet="1" objects="1" scenarios="1"/>
  <mergeCells count="21">
    <mergeCell ref="B3:F4"/>
    <mergeCell ref="B17:D17"/>
    <mergeCell ref="B9:D9"/>
    <mergeCell ref="B29:F29"/>
    <mergeCell ref="B30:D30"/>
    <mergeCell ref="B38:F38"/>
    <mergeCell ref="B39:F39"/>
    <mergeCell ref="B37:D37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169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6" t="s">
        <v>157</v>
      </c>
      <c r="C8" s="117"/>
      <c r="D8" s="117"/>
      <c r="E8" s="117"/>
      <c r="F8" s="117"/>
      <c r="G8" s="117"/>
      <c r="H8" s="11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2"/>
      <c r="I9" s="1"/>
    </row>
    <row r="10" spans="1:9" x14ac:dyDescent="0.25">
      <c r="A10" s="1"/>
      <c r="B10" s="47" t="s">
        <v>251</v>
      </c>
      <c r="C10" s="48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6" t="s">
        <v>158</v>
      </c>
      <c r="C11" s="117"/>
      <c r="D11" s="11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2meuWGOKZdEh6UiIWmYJZbyHMpoCdESjVgr6TZCb6SJr9/nLF2AJEbjwRpWrNfEmk0QycEGUI0pAve5+VK4Yhw==" saltValue="ho/qPGFuOYaFbNvuKh9C5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168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8" t="s">
        <v>84</v>
      </c>
      <c r="C8" s="59"/>
      <c r="D8" s="59"/>
      <c r="E8" s="59"/>
      <c r="F8" s="20"/>
      <c r="G8" s="1"/>
    </row>
    <row r="9" spans="1:7" ht="17.25" customHeight="1" x14ac:dyDescent="0.25">
      <c r="A9" s="1"/>
      <c r="B9" s="56" t="s">
        <v>16</v>
      </c>
      <c r="C9" s="56" t="s">
        <v>11</v>
      </c>
      <c r="D9" s="57"/>
      <c r="E9" s="56" t="s">
        <v>32</v>
      </c>
      <c r="F9" s="52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58" t="s">
        <v>136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8" t="s">
        <v>210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kJts8o5NpgBYBIPN5eulYLXnSGBe0IgOpaqe4aWaXUzsS92EufrvkjZIdlV5rewT3mRe8dkNsRllYIRwMIHrg==" saltValue="PEoZqtPj7G68prOFVUpwE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167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6" t="s">
        <v>102</v>
      </c>
      <c r="C8" s="117"/>
      <c r="D8" s="117"/>
      <c r="E8" s="117"/>
      <c r="F8" s="118"/>
      <c r="G8" s="1"/>
    </row>
    <row r="9" spans="1:7" x14ac:dyDescent="0.25">
      <c r="A9" s="1"/>
      <c r="B9" s="56" t="s">
        <v>16</v>
      </c>
      <c r="C9" s="56" t="s">
        <v>11</v>
      </c>
      <c r="D9" s="57"/>
      <c r="E9" s="56" t="s">
        <v>32</v>
      </c>
      <c r="F9" s="52"/>
      <c r="G9" s="1"/>
    </row>
    <row r="10" spans="1:7" x14ac:dyDescent="0.25">
      <c r="A10" s="1"/>
      <c r="B10" s="25" t="s">
        <v>231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8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8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6" t="s">
        <v>103</v>
      </c>
      <c r="C16" s="117"/>
      <c r="D16" s="117"/>
      <c r="E16" s="117"/>
      <c r="F16" s="118"/>
      <c r="G16" s="1"/>
    </row>
    <row r="17" spans="1:7" x14ac:dyDescent="0.25">
      <c r="A17" s="1"/>
      <c r="B17" s="56" t="s">
        <v>16</v>
      </c>
      <c r="C17" s="56" t="s">
        <v>11</v>
      </c>
      <c r="D17" s="57"/>
      <c r="E17" s="56" t="s">
        <v>32</v>
      </c>
      <c r="F17" s="52"/>
      <c r="G17" s="1"/>
    </row>
    <row r="18" spans="1:7" x14ac:dyDescent="0.25">
      <c r="A18" s="1"/>
      <c r="B18" s="25" t="s">
        <v>231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8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8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6" t="s">
        <v>138</v>
      </c>
      <c r="C24" s="117"/>
      <c r="D24" s="117"/>
      <c r="E24" s="117"/>
      <c r="F24" s="118"/>
      <c r="G24" s="1"/>
    </row>
    <row r="25" spans="1:7" x14ac:dyDescent="0.25">
      <c r="A25" s="1"/>
      <c r="B25" s="56" t="s">
        <v>16</v>
      </c>
      <c r="C25" s="56" t="s">
        <v>11</v>
      </c>
      <c r="D25" s="57"/>
      <c r="E25" s="56" t="s">
        <v>32</v>
      </c>
      <c r="F25" s="52"/>
      <c r="G25" s="1"/>
    </row>
    <row r="26" spans="1:7" x14ac:dyDescent="0.25">
      <c r="A26" s="1"/>
      <c r="B26" s="25" t="s">
        <v>231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8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8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6" t="s">
        <v>212</v>
      </c>
      <c r="C32" s="117"/>
      <c r="D32" s="117"/>
      <c r="E32" s="117"/>
      <c r="F32" s="118"/>
      <c r="G32" s="1"/>
    </row>
    <row r="33" spans="1:7" x14ac:dyDescent="0.25">
      <c r="A33" s="1"/>
      <c r="B33" s="56" t="s">
        <v>16</v>
      </c>
      <c r="C33" s="56" t="s">
        <v>11</v>
      </c>
      <c r="D33" s="57"/>
      <c r="E33" s="56" t="s">
        <v>32</v>
      </c>
      <c r="F33" s="52"/>
      <c r="G33" s="1"/>
    </row>
    <row r="34" spans="1:7" x14ac:dyDescent="0.25">
      <c r="A34" s="1"/>
      <c r="B34" s="25" t="s">
        <v>231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8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8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ADgUaZaf2TUzpIhvMiJD/WndHb5XCo/61FR603RjPdkJ0ztZIiHEYhdYqssYWL2zQHr9zJxwZzXBosQRjePvaQ==" saltValue="16bID0FpHdRKPSw1B3ZiY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9" t="s">
        <v>166</v>
      </c>
      <c r="C3" s="109"/>
      <c r="D3" s="109"/>
      <c r="E3" s="109"/>
      <c r="F3" s="109"/>
      <c r="G3" s="1"/>
    </row>
    <row r="4" spans="1:7" ht="25.5" customHeight="1" x14ac:dyDescent="0.25">
      <c r="A4" s="1"/>
      <c r="B4" s="109"/>
      <c r="C4" s="109"/>
      <c r="D4" s="109"/>
      <c r="E4" s="109"/>
      <c r="F4" s="10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6" t="s">
        <v>130</v>
      </c>
      <c r="C8" s="117"/>
      <c r="D8" s="117"/>
      <c r="E8" s="117"/>
      <c r="F8" s="118"/>
      <c r="G8" s="1"/>
    </row>
    <row r="9" spans="1:7" ht="15" customHeight="1" x14ac:dyDescent="0.25">
      <c r="A9" s="1"/>
      <c r="B9" s="51" t="s">
        <v>131</v>
      </c>
      <c r="C9" s="101" t="s">
        <v>11</v>
      </c>
      <c r="D9" s="103"/>
      <c r="E9" s="101" t="s">
        <v>32</v>
      </c>
      <c r="F9" s="103"/>
      <c r="G9" s="1"/>
    </row>
    <row r="10" spans="1:7" x14ac:dyDescent="0.25">
      <c r="A10" s="1"/>
      <c r="B10" s="25" t="s">
        <v>227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euQgbt6tHSZaHyEWlrQ/9XealOjijHYGD6lIRZQP5Bx1pRa0oKq7gtCe56haCUK4r1ms1QDGSYXIH3zCsWnQxA==" saltValue="yTKuSx5PNhaMleRzIX9c0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9" t="s">
        <v>165</v>
      </c>
      <c r="C3" s="109"/>
      <c r="D3" s="109"/>
      <c r="E3" s="109"/>
      <c r="F3" s="109"/>
      <c r="G3" s="1"/>
    </row>
    <row r="4" spans="1:7" ht="25.5" customHeight="1" x14ac:dyDescent="0.25">
      <c r="A4" s="1"/>
      <c r="B4" s="109"/>
      <c r="C4" s="109"/>
      <c r="D4" s="109"/>
      <c r="E4" s="109"/>
      <c r="F4" s="10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6" t="s">
        <v>98</v>
      </c>
      <c r="C8" s="117"/>
      <c r="D8" s="117"/>
      <c r="E8" s="117"/>
      <c r="F8" s="118"/>
      <c r="G8" s="1"/>
    </row>
    <row r="9" spans="1:7" ht="15" customHeight="1" x14ac:dyDescent="0.25">
      <c r="A9" s="1"/>
      <c r="B9" s="51" t="s">
        <v>17</v>
      </c>
      <c r="C9" s="51" t="s">
        <v>11</v>
      </c>
      <c r="D9" s="52"/>
      <c r="E9" s="51" t="s">
        <v>32</v>
      </c>
      <c r="F9" s="52"/>
      <c r="G9" s="1"/>
    </row>
    <row r="10" spans="1:7" x14ac:dyDescent="0.25">
      <c r="A10" s="1"/>
      <c r="B10" s="25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8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8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6" t="s">
        <v>99</v>
      </c>
      <c r="C15" s="117"/>
      <c r="D15" s="117"/>
      <c r="E15" s="117"/>
      <c r="F15" s="118"/>
      <c r="G15" s="1"/>
    </row>
    <row r="16" spans="1:7" ht="26.25" x14ac:dyDescent="0.25">
      <c r="A16" s="1"/>
      <c r="B16" s="51" t="s">
        <v>17</v>
      </c>
      <c r="C16" s="51" t="s">
        <v>11</v>
      </c>
      <c r="D16" s="52"/>
      <c r="E16" s="51" t="s">
        <v>32</v>
      </c>
      <c r="F16" s="52"/>
      <c r="G16" s="1"/>
    </row>
    <row r="17" spans="1:7" x14ac:dyDescent="0.25">
      <c r="A17" s="1"/>
      <c r="B17" s="25" t="s">
        <v>232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8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8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6" t="s">
        <v>142</v>
      </c>
      <c r="C22" s="117"/>
      <c r="D22" s="117"/>
      <c r="E22" s="117"/>
      <c r="F22" s="118"/>
      <c r="G22" s="1"/>
    </row>
    <row r="23" spans="1:7" ht="26.25" x14ac:dyDescent="0.25">
      <c r="A23" s="1"/>
      <c r="B23" s="51" t="s">
        <v>17</v>
      </c>
      <c r="C23" s="51" t="s">
        <v>11</v>
      </c>
      <c r="D23" s="52"/>
      <c r="E23" s="51" t="s">
        <v>32</v>
      </c>
      <c r="F23" s="52"/>
      <c r="G23" s="1"/>
    </row>
    <row r="24" spans="1:7" x14ac:dyDescent="0.25">
      <c r="A24" s="1"/>
      <c r="B24" s="25" t="s">
        <v>232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8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8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6" t="s">
        <v>215</v>
      </c>
      <c r="C29" s="117"/>
      <c r="D29" s="117"/>
      <c r="E29" s="117"/>
      <c r="F29" s="118"/>
      <c r="G29" s="1"/>
    </row>
    <row r="30" spans="1:7" ht="26.25" x14ac:dyDescent="0.25">
      <c r="A30" s="1"/>
      <c r="B30" s="51" t="s">
        <v>17</v>
      </c>
      <c r="C30" s="51" t="s">
        <v>11</v>
      </c>
      <c r="D30" s="52"/>
      <c r="E30" s="51" t="s">
        <v>32</v>
      </c>
      <c r="F30" s="52"/>
      <c r="G30" s="1"/>
    </row>
    <row r="31" spans="1:7" x14ac:dyDescent="0.25">
      <c r="A31" s="1"/>
      <c r="B31" s="25" t="s">
        <v>232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8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8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Wz/Q3FWz0EHkOLXx5Z30wQyKkaig5VcXjsXKFZkp8EdFk5t/6N9Ao45d5cfu0BEGAhn0zwriceUUnykKxqDHpQ==" saltValue="M4fxJhekfHcgDtDnu3Du1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9" t="s">
        <v>164</v>
      </c>
      <c r="C3" s="109"/>
      <c r="D3" s="1"/>
    </row>
    <row r="4" spans="1:4" ht="25.5" customHeight="1" x14ac:dyDescent="0.25">
      <c r="A4" s="1"/>
      <c r="B4" s="109"/>
      <c r="C4" s="10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8" t="s">
        <v>14</v>
      </c>
      <c r="C8" s="20"/>
      <c r="D8" s="1"/>
    </row>
    <row r="9" spans="1:4" x14ac:dyDescent="0.25">
      <c r="A9" s="1"/>
      <c r="B9" s="66" t="s">
        <v>118</v>
      </c>
      <c r="C9" s="26">
        <v>1.2699999999999999E-2</v>
      </c>
      <c r="D9" s="1"/>
    </row>
    <row r="10" spans="1:4" x14ac:dyDescent="0.25">
      <c r="A10" s="1"/>
      <c r="B10" s="66" t="s">
        <v>22</v>
      </c>
      <c r="C10" s="26">
        <v>1.7500000000000002E-2</v>
      </c>
      <c r="D10" s="1"/>
    </row>
    <row r="11" spans="1:4" x14ac:dyDescent="0.25">
      <c r="A11" s="1"/>
      <c r="B11" s="66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49">
        <v>3.3E-3</v>
      </c>
      <c r="D14" s="1"/>
    </row>
    <row r="15" spans="1:4" x14ac:dyDescent="0.25">
      <c r="A15" s="1"/>
      <c r="B15" s="116"/>
      <c r="C15" s="118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8" t="s">
        <v>106</v>
      </c>
      <c r="C18" s="20"/>
      <c r="D18" s="1"/>
    </row>
    <row r="19" spans="1:4" x14ac:dyDescent="0.25">
      <c r="A19" s="1"/>
      <c r="B19" s="66" t="s">
        <v>120</v>
      </c>
      <c r="C19" s="23">
        <v>9.1000000000000004E-3</v>
      </c>
      <c r="D19" s="1"/>
    </row>
    <row r="20" spans="1:4" x14ac:dyDescent="0.25">
      <c r="A20" s="1"/>
      <c r="B20" s="66" t="s">
        <v>121</v>
      </c>
      <c r="C20" s="23">
        <v>1.77E-2</v>
      </c>
      <c r="D20" s="1"/>
    </row>
    <row r="21" spans="1:4" x14ac:dyDescent="0.25">
      <c r="A21" s="1"/>
      <c r="B21" s="66" t="s">
        <v>122</v>
      </c>
      <c r="C21" s="23">
        <v>8.6999999999999994E-3</v>
      </c>
      <c r="D21" s="1"/>
    </row>
    <row r="22" spans="1:4" x14ac:dyDescent="0.25">
      <c r="A22" s="1"/>
      <c r="B22" s="66" t="s">
        <v>123</v>
      </c>
      <c r="C22" s="35">
        <v>2.8400000000000002E-2</v>
      </c>
      <c r="D22" s="1"/>
    </row>
    <row r="23" spans="1:4" x14ac:dyDescent="0.25">
      <c r="A23" s="1"/>
      <c r="B23" s="66" t="s">
        <v>146</v>
      </c>
      <c r="C23" s="35">
        <v>2.75E-2</v>
      </c>
      <c r="D23" s="1"/>
    </row>
    <row r="24" spans="1:4" x14ac:dyDescent="0.25">
      <c r="A24" s="1"/>
      <c r="B24" s="66" t="s">
        <v>218</v>
      </c>
      <c r="C24" s="35">
        <v>1.4800000000000001E-2</v>
      </c>
      <c r="D24" s="1"/>
    </row>
    <row r="25" spans="1:4" x14ac:dyDescent="0.25">
      <c r="A25" s="1"/>
      <c r="B25" s="5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8" t="s">
        <v>107</v>
      </c>
      <c r="C28" s="20"/>
      <c r="D28" s="1"/>
    </row>
    <row r="29" spans="1:4" x14ac:dyDescent="0.25">
      <c r="A29" s="1"/>
      <c r="B29" s="66" t="s">
        <v>124</v>
      </c>
      <c r="C29" s="26">
        <v>0.02</v>
      </c>
      <c r="D29" s="1"/>
    </row>
    <row r="30" spans="1:4" x14ac:dyDescent="0.25">
      <c r="A30" s="1"/>
      <c r="B30" s="5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AJdKTrsRCx99U2dES2bWj0/LzTnJ9UAVptrPhH6JQC6b0mz2w91KI5NRSMmE/gy7FrlrLOLEwC9xq7SCSyqv6Q==" saltValue="PbaJeS7R98dD+uaMmkGd6A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184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8" t="s">
        <v>13</v>
      </c>
      <c r="C8" s="59"/>
      <c r="D8" s="20"/>
      <c r="E8" s="1"/>
    </row>
    <row r="9" spans="1:5" x14ac:dyDescent="0.25">
      <c r="A9" s="1"/>
      <c r="B9" s="54" t="s">
        <v>24</v>
      </c>
      <c r="C9" s="7">
        <f>'Fane 3. Omkostninger i ØR2021'!E20</f>
        <v>45190700.968125589</v>
      </c>
      <c r="D9" s="8" t="s">
        <v>3</v>
      </c>
      <c r="E9" s="1"/>
    </row>
    <row r="10" spans="1:5" x14ac:dyDescent="0.25">
      <c r="A10" s="1"/>
      <c r="B10" s="50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23943.975998979164</v>
      </c>
      <c r="D10" s="8" t="s">
        <v>3</v>
      </c>
      <c r="E10" s="1"/>
    </row>
    <row r="11" spans="1:5" x14ac:dyDescent="0.25">
      <c r="A11" s="1"/>
      <c r="B11" s="50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64418.942835252747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tillæg'!C12</f>
        <v>0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tillæg'!E12</f>
        <v>0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551326.55181113223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-532697.03529776388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-318630.18379848538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-915031.17321168468</v>
      </c>
      <c r="D21" s="8" t="s">
        <v>3</v>
      </c>
      <c r="E21" s="1"/>
    </row>
    <row r="22" spans="1:5" ht="17.100000000000001" customHeight="1" x14ac:dyDescent="0.25">
      <c r="A22" s="1"/>
      <c r="B22" s="67" t="s">
        <v>20</v>
      </c>
      <c r="C22" s="10">
        <f>SUM(C9,C12:C21)</f>
        <v>43975669.127628781</v>
      </c>
      <c r="D22" s="11" t="s">
        <v>3</v>
      </c>
      <c r="E22" s="1"/>
    </row>
    <row r="23" spans="1:5" ht="15" customHeight="1" x14ac:dyDescent="0.25">
      <c r="A23" s="1"/>
      <c r="B23" s="58" t="s">
        <v>12</v>
      </c>
      <c r="C23" s="59"/>
      <c r="D23" s="20"/>
      <c r="E23" s="1"/>
    </row>
    <row r="24" spans="1:5" ht="15" customHeight="1" x14ac:dyDescent="0.25">
      <c r="A24" s="1"/>
      <c r="B24" s="51" t="s">
        <v>12</v>
      </c>
      <c r="C24" s="10">
        <f>'Fane 6. Ikke-påvirkelige omk.'!C16</f>
        <v>27571208.77353669</v>
      </c>
      <c r="D24" s="11" t="s">
        <v>3</v>
      </c>
      <c r="E24" s="1"/>
    </row>
    <row r="25" spans="1:5" ht="15" customHeight="1" x14ac:dyDescent="0.25">
      <c r="A25" s="1"/>
      <c r="B25" s="58" t="s">
        <v>89</v>
      </c>
      <c r="C25" s="59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7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9"/>
      <c r="D29" s="20"/>
      <c r="E29" s="1"/>
    </row>
    <row r="30" spans="1:5" x14ac:dyDescent="0.25">
      <c r="A30" s="1"/>
      <c r="B30" s="70" t="s">
        <v>162</v>
      </c>
      <c r="C30" s="10">
        <f>'Fane 7. Kontrol af ØR2020'!E30</f>
        <v>-689663.25868093967</v>
      </c>
      <c r="D30" s="11" t="s">
        <v>3</v>
      </c>
      <c r="E30" s="1"/>
    </row>
    <row r="31" spans="1:5" x14ac:dyDescent="0.25">
      <c r="A31" s="1"/>
      <c r="B31" s="36" t="s">
        <v>225</v>
      </c>
      <c r="C31" s="59"/>
      <c r="D31" s="20"/>
      <c r="E31" s="1"/>
    </row>
    <row r="32" spans="1:5" x14ac:dyDescent="0.25">
      <c r="A32" s="1"/>
      <c r="B32" s="70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8" t="s">
        <v>30</v>
      </c>
      <c r="C33" s="31">
        <f>SUM(C22,C24,C28,C30,C32)</f>
        <v>70857214.642484531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lxAogCkMTnEj0K5dDXt/98Yufoz9jRdWE5wdo30RNxP7aAEsEydvwERTer2qXa6hTxhdktQ0Qu6tDEXhrFzP9w==" saltValue="W1OOHQZuadaBQibeVHMxS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185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8" t="s">
        <v>13</v>
      </c>
      <c r="C8" s="59"/>
      <c r="D8" s="20"/>
      <c r="E8" s="1"/>
    </row>
    <row r="9" spans="1:5" ht="15" customHeight="1" x14ac:dyDescent="0.25">
      <c r="A9" s="1"/>
      <c r="B9" s="54" t="s">
        <v>134</v>
      </c>
      <c r="C9" s="7">
        <f>'Fane 2.1. Økonomisk ramme 2022'!C22</f>
        <v>43975669.127628781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50" t="s">
        <v>18</v>
      </c>
      <c r="C12" s="9">
        <f>SUM(C9:C11)*'Fane 12. Nøgletal'!C14</f>
        <v>145119.70812117498</v>
      </c>
      <c r="D12" s="8" t="s">
        <v>3</v>
      </c>
      <c r="E12" s="1"/>
    </row>
    <row r="13" spans="1:5" ht="15" customHeight="1" x14ac:dyDescent="0.25">
      <c r="A13" s="1"/>
      <c r="B13" s="50" t="s">
        <v>9</v>
      </c>
      <c r="C13" s="9">
        <f>-SUM(C9:C12)*'Fane 5. Individuelt eff. krav'!G10</f>
        <v>-513816.60766040295</v>
      </c>
      <c r="D13" s="8" t="s">
        <v>3</v>
      </c>
      <c r="E13" s="1"/>
    </row>
    <row r="14" spans="1:5" ht="15" customHeight="1" x14ac:dyDescent="0.25">
      <c r="A14" s="1"/>
      <c r="B14" s="50" t="s">
        <v>25</v>
      </c>
      <c r="C14" s="9">
        <f>-'Fane 4.1. Gen. krav - drift'!G44</f>
        <v>-313288.03013691999</v>
      </c>
      <c r="D14" s="8" t="s">
        <v>3</v>
      </c>
      <c r="E14" s="1"/>
    </row>
    <row r="15" spans="1:5" ht="15" customHeight="1" x14ac:dyDescent="0.25">
      <c r="A15" s="1"/>
      <c r="B15" s="50" t="s">
        <v>26</v>
      </c>
      <c r="C15" s="9">
        <f>-'Fane 4.2. Gen. krav - anlæg'!G44</f>
        <v>-480491.08436969802</v>
      </c>
      <c r="D15" s="8" t="s">
        <v>3</v>
      </c>
      <c r="E15" s="1"/>
    </row>
    <row r="16" spans="1:5" ht="15" customHeight="1" x14ac:dyDescent="0.25">
      <c r="A16" s="1"/>
      <c r="B16" s="55" t="s">
        <v>20</v>
      </c>
      <c r="C16" s="10">
        <f>SUM(C9:C15)</f>
        <v>42813193.113582931</v>
      </c>
      <c r="D16" s="11" t="s">
        <v>3</v>
      </c>
      <c r="E16" s="1"/>
    </row>
    <row r="17" spans="1:5" x14ac:dyDescent="0.25">
      <c r="A17" s="1"/>
      <c r="B17" s="58" t="s">
        <v>12</v>
      </c>
      <c r="C17" s="59"/>
      <c r="D17" s="20"/>
      <c r="E17" s="1"/>
    </row>
    <row r="18" spans="1:5" ht="15" customHeight="1" x14ac:dyDescent="0.25">
      <c r="A18" s="1"/>
      <c r="B18" s="51" t="s">
        <v>12</v>
      </c>
      <c r="C18" s="10">
        <f>'Fane 6. Ikke-påvirkelige omk.'!C16*(1+'Fane 12. Nøgletal'!C14)</f>
        <v>27662193.762489364</v>
      </c>
      <c r="D18" s="11" t="s">
        <v>3</v>
      </c>
      <c r="E18" s="1"/>
    </row>
    <row r="19" spans="1:5" ht="15" customHeight="1" x14ac:dyDescent="0.25">
      <c r="A19" s="1"/>
      <c r="B19" s="58" t="s">
        <v>89</v>
      </c>
      <c r="C19" s="59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7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9"/>
      <c r="D23" s="20"/>
      <c r="E23" s="1"/>
    </row>
    <row r="24" spans="1:5" ht="15" customHeight="1" x14ac:dyDescent="0.25">
      <c r="A24" s="1"/>
      <c r="B24" s="70" t="s">
        <v>162</v>
      </c>
      <c r="C24" s="10">
        <f>'Fane 7. Kontrol af ØR2020'!E37</f>
        <v>301330.97130514309</v>
      </c>
      <c r="D24" s="11" t="s">
        <v>3</v>
      </c>
      <c r="E24" s="1"/>
    </row>
    <row r="25" spans="1:5" x14ac:dyDescent="0.25">
      <c r="A25" s="1"/>
      <c r="B25" s="36" t="s">
        <v>225</v>
      </c>
      <c r="C25" s="59"/>
      <c r="D25" s="20"/>
      <c r="E25" s="1"/>
    </row>
    <row r="26" spans="1:5" x14ac:dyDescent="0.25">
      <c r="A26" s="1"/>
      <c r="B26" s="70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8" t="s">
        <v>97</v>
      </c>
      <c r="C27" s="12">
        <f>SUM(C16,C18,C22,C24,C26)</f>
        <v>70776717.847377434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EXf7TO5Lf5MEOFyO1AX2sqX8Qyn05hLu6rphD/Hddu9qCOHU6NSzhzIxaJf0J23KmgfVk1sGDnQ+PAtjEjJkPg==" saltValue="uMC1lO8eiGYPRDL1Xntxc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186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8" t="s">
        <v>13</v>
      </c>
      <c r="C7" s="59"/>
      <c r="D7" s="20"/>
      <c r="E7" s="1"/>
    </row>
    <row r="8" spans="1:5" ht="15" customHeight="1" x14ac:dyDescent="0.25">
      <c r="A8" s="1"/>
      <c r="B8" s="54" t="s">
        <v>135</v>
      </c>
      <c r="C8" s="7">
        <f>'Fane 2.2. Økonomisk ramme 2023'!C16</f>
        <v>42813193.113582931</v>
      </c>
      <c r="D8" s="8" t="s">
        <v>3</v>
      </c>
      <c r="E8" s="1"/>
    </row>
    <row r="9" spans="1:5" ht="15" customHeight="1" x14ac:dyDescent="0.25">
      <c r="A9" s="1"/>
      <c r="B9" s="54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4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50" t="s">
        <v>18</v>
      </c>
      <c r="C11" s="9">
        <f>SUM(C8:C10)*'Fane 12. Nøgletal'!C14</f>
        <v>141283.53727482367</v>
      </c>
      <c r="D11" s="8" t="s">
        <v>3</v>
      </c>
      <c r="E11" s="1"/>
    </row>
    <row r="12" spans="1:5" ht="15" customHeight="1" x14ac:dyDescent="0.25">
      <c r="A12" s="1"/>
      <c r="B12" s="50" t="s">
        <v>9</v>
      </c>
      <c r="C12" s="9">
        <f>-SUM(C8:C11)*'Fane 5. Individuelt eff. krav'!G10</f>
        <v>-500234.10865873663</v>
      </c>
      <c r="D12" s="8" t="s">
        <v>3</v>
      </c>
      <c r="E12" s="1"/>
    </row>
    <row r="13" spans="1:5" ht="15" customHeight="1" x14ac:dyDescent="0.25">
      <c r="A13" s="1"/>
      <c r="B13" s="50" t="s">
        <v>25</v>
      </c>
      <c r="C13" s="9">
        <f>-'Fane 4.1. Gen. krav - drift'!G50</f>
        <v>-308035.44302364439</v>
      </c>
      <c r="D13" s="8" t="s">
        <v>3</v>
      </c>
      <c r="E13" s="1"/>
    </row>
    <row r="14" spans="1:5" ht="15" customHeight="1" x14ac:dyDescent="0.25">
      <c r="A14" s="1"/>
      <c r="B14" s="50" t="s">
        <v>26</v>
      </c>
      <c r="C14" s="43">
        <f>-'Fane 4.2. Gen. krav - anlæg'!G50</f>
        <v>-474941.96971488593</v>
      </c>
      <c r="D14" s="8" t="s">
        <v>3</v>
      </c>
      <c r="E14" s="1"/>
    </row>
    <row r="15" spans="1:5" x14ac:dyDescent="0.25">
      <c r="A15" s="1"/>
      <c r="B15" s="55" t="s">
        <v>20</v>
      </c>
      <c r="C15" s="10">
        <f>SUM(C8:C14)</f>
        <v>41671265.129460484</v>
      </c>
      <c r="D15" s="11" t="s">
        <v>3</v>
      </c>
      <c r="E15" s="1"/>
    </row>
    <row r="16" spans="1:5" x14ac:dyDescent="0.25">
      <c r="A16" s="1"/>
      <c r="B16" s="58" t="s">
        <v>12</v>
      </c>
      <c r="C16" s="59"/>
      <c r="D16" s="20"/>
      <c r="E16" s="1"/>
    </row>
    <row r="17" spans="1:5" ht="15" customHeight="1" x14ac:dyDescent="0.25">
      <c r="A17" s="1"/>
      <c r="B17" s="51" t="s">
        <v>12</v>
      </c>
      <c r="C17" s="10">
        <f>'Fane 6. Ikke-påvirkelige omk.'!C16*(1+'Fane 12. Nøgletal'!C14)^2</f>
        <v>27753479.001905579</v>
      </c>
      <c r="D17" s="11" t="s">
        <v>3</v>
      </c>
      <c r="E17" s="1"/>
    </row>
    <row r="18" spans="1:5" ht="15" customHeight="1" x14ac:dyDescent="0.25">
      <c r="A18" s="1"/>
      <c r="B18" s="58" t="s">
        <v>89</v>
      </c>
      <c r="C18" s="59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7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8" t="s">
        <v>161</v>
      </c>
      <c r="C22" s="59"/>
      <c r="D22" s="20"/>
      <c r="E22" s="1"/>
    </row>
    <row r="23" spans="1:5" x14ac:dyDescent="0.25">
      <c r="A23" s="1"/>
      <c r="B23" s="51" t="s">
        <v>162</v>
      </c>
      <c r="C23" s="10">
        <f>'Fane 7. Kontrol af ØR2020'!E37</f>
        <v>301330.97130514309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9"/>
      <c r="D24" s="20"/>
      <c r="E24" s="1"/>
    </row>
    <row r="25" spans="1:5" ht="15" customHeight="1" x14ac:dyDescent="0.25">
      <c r="A25" s="1"/>
      <c r="B25" s="70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8" t="s">
        <v>187</v>
      </c>
      <c r="C26" s="12">
        <f>SUM(C15,C17,C21,C23,C25)</f>
        <v>69726075.102671206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6Tlk1vsgNNXIm1/mqEUMtAJ/3QADNQsVsdg9knZCi/aJ6SM2hjCIqUfcBafkOCUitxTqA6TsFp36eWDakrEKNA==" saltValue="4/coYQm3yn8KGNFChet3r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188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8" t="s">
        <v>13</v>
      </c>
      <c r="C7" s="59"/>
      <c r="D7" s="20"/>
      <c r="E7" s="1"/>
    </row>
    <row r="8" spans="1:5" ht="15" customHeight="1" x14ac:dyDescent="0.25">
      <c r="A8" s="1"/>
      <c r="B8" s="54" t="s">
        <v>189</v>
      </c>
      <c r="C8" s="7">
        <f>'Fane 2.3. Økonomisk ramme 2024'!C15</f>
        <v>41671265.129460484</v>
      </c>
      <c r="D8" s="8" t="s">
        <v>3</v>
      </c>
      <c r="E8" s="1"/>
    </row>
    <row r="9" spans="1:5" ht="15" customHeight="1" x14ac:dyDescent="0.25">
      <c r="A9" s="1"/>
      <c r="B9" s="54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4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50" t="s">
        <v>18</v>
      </c>
      <c r="C11" s="9">
        <f>SUM(C8:C10)*'Fane 12. Nøgletal'!C14</f>
        <v>137515.1749272196</v>
      </c>
      <c r="D11" s="8" t="s">
        <v>3</v>
      </c>
      <c r="E11" s="1"/>
    </row>
    <row r="12" spans="1:5" ht="15" customHeight="1" x14ac:dyDescent="0.25">
      <c r="A12" s="1"/>
      <c r="B12" s="50" t="s">
        <v>9</v>
      </c>
      <c r="C12" s="9">
        <f>-SUM(C8:C11)*'Fane 5. Individuelt eff. krav'!G10</f>
        <v>-486891.6951233928</v>
      </c>
      <c r="D12" s="8" t="s">
        <v>3</v>
      </c>
      <c r="E12" s="1"/>
    </row>
    <row r="13" spans="1:5" ht="15" customHeight="1" x14ac:dyDescent="0.25">
      <c r="A13" s="1"/>
      <c r="B13" s="50" t="s">
        <v>25</v>
      </c>
      <c r="C13" s="9">
        <f>-'Fane 4.1. Gen. krav - drift'!G56</f>
        <v>-302870.92078590998</v>
      </c>
      <c r="D13" s="8" t="s">
        <v>3</v>
      </c>
      <c r="E13" s="1"/>
    </row>
    <row r="14" spans="1:5" ht="15" customHeight="1" x14ac:dyDescent="0.25">
      <c r="A14" s="1"/>
      <c r="B14" s="50" t="s">
        <v>26</v>
      </c>
      <c r="C14" s="9">
        <f>-'Fane 4.2. Gen. krav - anlæg'!G56</f>
        <v>-469456.94089736388</v>
      </c>
      <c r="D14" s="8" t="s">
        <v>3</v>
      </c>
      <c r="E14" s="1"/>
    </row>
    <row r="15" spans="1:5" x14ac:dyDescent="0.25">
      <c r="A15" s="1"/>
      <c r="B15" s="55" t="s">
        <v>20</v>
      </c>
      <c r="C15" s="10">
        <f>SUM(C8:C14)</f>
        <v>40549560.747581042</v>
      </c>
      <c r="D15" s="11" t="s">
        <v>3</v>
      </c>
      <c r="E15" s="1"/>
    </row>
    <row r="16" spans="1:5" x14ac:dyDescent="0.25">
      <c r="A16" s="1"/>
      <c r="B16" s="58" t="s">
        <v>12</v>
      </c>
      <c r="C16" s="59"/>
      <c r="D16" s="20"/>
      <c r="E16" s="1"/>
    </row>
    <row r="17" spans="1:5" ht="15" customHeight="1" x14ac:dyDescent="0.25">
      <c r="A17" s="1"/>
      <c r="B17" s="51" t="s">
        <v>12</v>
      </c>
      <c r="C17" s="10">
        <f>'Fane 6. Ikke-påvirkelige omk.'!C16*(1+'Fane 12. Nøgletal'!C14)^3</f>
        <v>27845065.482611872</v>
      </c>
      <c r="D17" s="11" t="s">
        <v>3</v>
      </c>
      <c r="E17" s="1"/>
    </row>
    <row r="18" spans="1:5" ht="15" customHeight="1" x14ac:dyDescent="0.25">
      <c r="A18" s="1"/>
      <c r="B18" s="58" t="s">
        <v>89</v>
      </c>
      <c r="C18" s="59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7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8" t="s">
        <v>161</v>
      </c>
      <c r="C22" s="59"/>
      <c r="D22" s="20"/>
      <c r="E22" s="1"/>
    </row>
    <row r="23" spans="1:5" x14ac:dyDescent="0.25">
      <c r="A23" s="1"/>
      <c r="B23" s="51" t="s">
        <v>162</v>
      </c>
      <c r="C23" s="10">
        <f>'Fane 7. Kontrol af ØR2020'!E37</f>
        <v>301330.97130514309</v>
      </c>
      <c r="D23" s="11" t="s">
        <v>3</v>
      </c>
      <c r="E23" s="1"/>
    </row>
    <row r="24" spans="1:5" x14ac:dyDescent="0.25">
      <c r="A24" s="1"/>
      <c r="B24" s="36" t="s">
        <v>225</v>
      </c>
      <c r="C24" s="59"/>
      <c r="D24" s="20"/>
      <c r="E24" s="1"/>
    </row>
    <row r="25" spans="1:5" x14ac:dyDescent="0.25">
      <c r="A25" s="1"/>
      <c r="B25" s="70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8" t="s">
        <v>190</v>
      </c>
      <c r="C26" s="12">
        <f>SUM(C15,C17,C21,C23,C25)</f>
        <v>68695957.201498061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zXZ+HL7uCYaogeSWHVZShvzLTQ4f5cqttS1bBRHWno88Ub+cm2XOvSXHoInUbqFNTy1NJD3mBN4pfCHmuqk1XA==" saltValue="qc2DAsVmIHNms+IQ37A53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9" t="s">
        <v>191</v>
      </c>
      <c r="C3" s="109"/>
      <c r="D3" s="109"/>
      <c r="E3" s="109"/>
      <c r="F3" s="109"/>
      <c r="G3" s="1"/>
    </row>
    <row r="4" spans="1:7" ht="29.25" customHeight="1" x14ac:dyDescent="0.25">
      <c r="A4" s="1"/>
      <c r="B4" s="109"/>
      <c r="C4" s="109"/>
      <c r="D4" s="109"/>
      <c r="E4" s="109"/>
      <c r="F4" s="10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8" t="s">
        <v>224</v>
      </c>
      <c r="C8" s="59"/>
      <c r="D8" s="59"/>
      <c r="E8" s="59"/>
      <c r="F8" s="20"/>
      <c r="G8" s="1"/>
    </row>
    <row r="9" spans="1:7" x14ac:dyDescent="0.25">
      <c r="A9" s="1"/>
      <c r="B9" s="110" t="s">
        <v>23</v>
      </c>
      <c r="C9" s="111"/>
      <c r="D9" s="112"/>
      <c r="E9" s="7">
        <v>46331679.372829169</v>
      </c>
      <c r="F9" s="8" t="s">
        <v>3</v>
      </c>
      <c r="G9" s="1"/>
    </row>
    <row r="10" spans="1:7" ht="15" customHeight="1" x14ac:dyDescent="0.25">
      <c r="A10" s="1"/>
      <c r="B10" s="95" t="s">
        <v>40</v>
      </c>
      <c r="C10" s="96"/>
      <c r="D10" s="97"/>
      <c r="E10" s="9">
        <v>24428.434799999999</v>
      </c>
      <c r="F10" s="8" t="s">
        <v>3</v>
      </c>
      <c r="G10" s="1"/>
    </row>
    <row r="11" spans="1:7" ht="15" customHeight="1" x14ac:dyDescent="0.25">
      <c r="A11" s="1"/>
      <c r="B11" s="95" t="s">
        <v>41</v>
      </c>
      <c r="C11" s="96"/>
      <c r="D11" s="97"/>
      <c r="E11" s="9">
        <v>66235.331399999995</v>
      </c>
      <c r="F11" s="8" t="s">
        <v>3</v>
      </c>
      <c r="G11" s="1"/>
    </row>
    <row r="12" spans="1:7" x14ac:dyDescent="0.25">
      <c r="A12" s="1"/>
      <c r="B12" s="95" t="s">
        <v>28</v>
      </c>
      <c r="C12" s="96"/>
      <c r="D12" s="97"/>
      <c r="E12" s="9">
        <v>0</v>
      </c>
      <c r="F12" s="8" t="s">
        <v>3</v>
      </c>
      <c r="G12" s="1"/>
    </row>
    <row r="13" spans="1:7" x14ac:dyDescent="0.25">
      <c r="A13" s="1"/>
      <c r="B13" s="95" t="s">
        <v>27</v>
      </c>
      <c r="C13" s="96"/>
      <c r="D13" s="97"/>
      <c r="E13" s="9">
        <v>0</v>
      </c>
      <c r="F13" s="8" t="s">
        <v>3</v>
      </c>
      <c r="G13" s="1"/>
    </row>
    <row r="14" spans="1:7" x14ac:dyDescent="0.25">
      <c r="A14" s="1"/>
      <c r="B14" s="95" t="s">
        <v>132</v>
      </c>
      <c r="C14" s="96"/>
      <c r="D14" s="97"/>
      <c r="E14" s="9">
        <v>0</v>
      </c>
      <c r="F14" s="8" t="s">
        <v>3</v>
      </c>
      <c r="G14" s="1"/>
    </row>
    <row r="15" spans="1:7" x14ac:dyDescent="0.25">
      <c r="A15" s="1"/>
      <c r="B15" s="95" t="s">
        <v>133</v>
      </c>
      <c r="C15" s="96"/>
      <c r="D15" s="97"/>
      <c r="E15" s="9">
        <v>0</v>
      </c>
      <c r="F15" s="8" t="s">
        <v>3</v>
      </c>
      <c r="G15" s="1"/>
    </row>
    <row r="16" spans="1:7" x14ac:dyDescent="0.25">
      <c r="A16" s="1"/>
      <c r="B16" s="95" t="s">
        <v>18</v>
      </c>
      <c r="C16" s="96"/>
      <c r="D16" s="97"/>
      <c r="E16" s="9">
        <v>566352.58629615593</v>
      </c>
      <c r="F16" s="8" t="s">
        <v>3</v>
      </c>
      <c r="G16" s="1"/>
    </row>
    <row r="17" spans="1:7" x14ac:dyDescent="0.25">
      <c r="A17" s="1"/>
      <c r="B17" s="95" t="s">
        <v>9</v>
      </c>
      <c r="C17" s="96"/>
      <c r="D17" s="97"/>
      <c r="E17" s="9">
        <v>-547215.33483577729</v>
      </c>
      <c r="F17" s="8" t="s">
        <v>3</v>
      </c>
      <c r="G17" s="1"/>
    </row>
    <row r="18" spans="1:7" x14ac:dyDescent="0.25">
      <c r="A18" s="1"/>
      <c r="B18" s="95" t="s">
        <v>25</v>
      </c>
      <c r="C18" s="96"/>
      <c r="D18" s="97"/>
      <c r="E18" s="9">
        <v>-321214.02945139242</v>
      </c>
      <c r="F18" s="8" t="s">
        <v>3</v>
      </c>
      <c r="G18" s="1"/>
    </row>
    <row r="19" spans="1:7" x14ac:dyDescent="0.25">
      <c r="A19" s="1"/>
      <c r="B19" s="95" t="s">
        <v>26</v>
      </c>
      <c r="C19" s="96"/>
      <c r="D19" s="97"/>
      <c r="E19" s="9">
        <v>-929565.39291256922</v>
      </c>
      <c r="F19" s="8" t="s">
        <v>3</v>
      </c>
      <c r="G19" s="1"/>
    </row>
    <row r="20" spans="1:7" x14ac:dyDescent="0.25">
      <c r="A20" s="1"/>
      <c r="B20" s="98" t="s">
        <v>20</v>
      </c>
      <c r="C20" s="99"/>
      <c r="D20" s="100"/>
      <c r="E20" s="10">
        <f>SUM(E9:E19)</f>
        <v>45190700.968125589</v>
      </c>
      <c r="F20" s="11" t="s">
        <v>3</v>
      </c>
      <c r="G20" s="1"/>
    </row>
    <row r="21" spans="1:7" x14ac:dyDescent="0.25">
      <c r="A21" s="1"/>
      <c r="B21" s="58" t="s">
        <v>12</v>
      </c>
      <c r="C21" s="59"/>
      <c r="D21" s="59"/>
      <c r="E21" s="59"/>
      <c r="F21" s="20"/>
      <c r="G21" s="1"/>
    </row>
    <row r="22" spans="1:7" x14ac:dyDescent="0.25">
      <c r="A22" s="1"/>
      <c r="B22" s="106" t="s">
        <v>12</v>
      </c>
      <c r="C22" s="107"/>
      <c r="D22" s="108"/>
      <c r="E22" s="10">
        <v>27529566.677595761</v>
      </c>
      <c r="F22" s="11" t="s">
        <v>3</v>
      </c>
      <c r="G22" s="1"/>
    </row>
    <row r="23" spans="1:7" ht="15" customHeight="1" x14ac:dyDescent="0.25">
      <c r="A23" s="1"/>
      <c r="B23" s="104" t="s">
        <v>89</v>
      </c>
      <c r="C23" s="105"/>
      <c r="D23" s="105"/>
      <c r="E23" s="59"/>
      <c r="F23" s="59"/>
      <c r="G23" s="1"/>
    </row>
    <row r="24" spans="1:7" ht="14.25" customHeight="1" x14ac:dyDescent="0.25">
      <c r="A24" s="1"/>
      <c r="B24" s="92" t="s">
        <v>85</v>
      </c>
      <c r="C24" s="93"/>
      <c r="D24" s="94"/>
      <c r="E24" s="9">
        <v>0</v>
      </c>
      <c r="F24" s="8" t="s">
        <v>3</v>
      </c>
      <c r="G24" s="1"/>
    </row>
    <row r="25" spans="1:7" ht="14.25" customHeight="1" x14ac:dyDescent="0.25">
      <c r="A25" s="1"/>
      <c r="B25" s="92" t="s">
        <v>86</v>
      </c>
      <c r="C25" s="93"/>
      <c r="D25" s="94"/>
      <c r="E25" s="9">
        <v>0</v>
      </c>
      <c r="F25" s="8" t="s">
        <v>3</v>
      </c>
      <c r="G25" s="1"/>
    </row>
    <row r="26" spans="1:7" x14ac:dyDescent="0.25">
      <c r="A26" s="1"/>
      <c r="B26" s="101" t="s">
        <v>90</v>
      </c>
      <c r="C26" s="102"/>
      <c r="D26" s="102"/>
      <c r="E26" s="10">
        <v>0</v>
      </c>
      <c r="F26" s="11" t="s">
        <v>3</v>
      </c>
      <c r="G26" s="1"/>
    </row>
    <row r="27" spans="1:7" x14ac:dyDescent="0.25">
      <c r="A27" s="1"/>
      <c r="B27" s="58" t="s">
        <v>161</v>
      </c>
      <c r="C27" s="59"/>
      <c r="D27" s="59"/>
      <c r="E27" s="59"/>
      <c r="F27" s="20"/>
      <c r="G27" s="1"/>
    </row>
    <row r="28" spans="1:7" ht="15" customHeight="1" x14ac:dyDescent="0.25">
      <c r="A28" s="1"/>
      <c r="B28" s="101" t="s">
        <v>162</v>
      </c>
      <c r="C28" s="102"/>
      <c r="D28" s="103"/>
      <c r="E28" s="10">
        <v>-1608050.5</v>
      </c>
      <c r="F28" s="11" t="s">
        <v>3</v>
      </c>
      <c r="G28" s="1"/>
    </row>
    <row r="29" spans="1:7" x14ac:dyDescent="0.25">
      <c r="A29" s="1"/>
      <c r="B29" s="58" t="s">
        <v>246</v>
      </c>
      <c r="C29" s="59"/>
      <c r="D29" s="59"/>
      <c r="E29" s="59"/>
      <c r="F29" s="20"/>
      <c r="G29" s="1"/>
    </row>
    <row r="30" spans="1:7" ht="15.6" customHeight="1" x14ac:dyDescent="0.25">
      <c r="A30" s="1"/>
      <c r="B30" s="106" t="s">
        <v>247</v>
      </c>
      <c r="C30" s="107"/>
      <c r="D30" s="108"/>
      <c r="E30" s="10">
        <v>176.86514</v>
      </c>
      <c r="F30" s="11" t="s">
        <v>3</v>
      </c>
      <c r="G30" s="1"/>
    </row>
    <row r="31" spans="1:7" x14ac:dyDescent="0.25">
      <c r="A31" s="1"/>
      <c r="B31" s="58" t="s">
        <v>29</v>
      </c>
      <c r="C31" s="59"/>
      <c r="D31" s="59"/>
      <c r="E31" s="12">
        <f>E20+E22+E26+E28+E30</f>
        <v>71112394.010861352</v>
      </c>
      <c r="F31" s="13" t="s">
        <v>3</v>
      </c>
      <c r="G31" s="1"/>
    </row>
    <row r="32" spans="1:7" ht="27.75" customHeight="1" x14ac:dyDescent="0.25">
      <c r="A32" s="1"/>
      <c r="B32" s="92" t="s">
        <v>192</v>
      </c>
      <c r="C32" s="93"/>
      <c r="D32" s="93"/>
      <c r="E32" s="93"/>
      <c r="F32" s="94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OgAUiNSiALTyxXCy1ygN5useX2aDijaFuYoSevVWelAApNQpeiMlKOrj72CCD/H6j1v1Jv7KdpaieaSkhN56Mw==" saltValue="tZBBiRX77cHP00LMQU/Hkw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9" t="s">
        <v>115</v>
      </c>
      <c r="C1" s="109"/>
      <c r="D1" s="109"/>
      <c r="E1" s="109"/>
      <c r="F1" s="109"/>
      <c r="G1" s="109"/>
      <c r="H1" s="109"/>
      <c r="I1" s="1"/>
    </row>
    <row r="2" spans="1:9" ht="15" customHeight="1" x14ac:dyDescent="0.25">
      <c r="A2" s="1"/>
      <c r="B2" s="109"/>
      <c r="C2" s="109"/>
      <c r="D2" s="109"/>
      <c r="E2" s="109"/>
      <c r="F2" s="109"/>
      <c r="G2" s="109"/>
      <c r="H2" s="109"/>
      <c r="I2" s="1"/>
    </row>
    <row r="3" spans="1:9" ht="15" customHeight="1" x14ac:dyDescent="0.25">
      <c r="A3" s="1"/>
      <c r="B3" s="109"/>
      <c r="C3" s="109"/>
      <c r="D3" s="109"/>
      <c r="E3" s="109"/>
      <c r="F3" s="109"/>
      <c r="G3" s="109"/>
      <c r="H3" s="109"/>
      <c r="I3" s="1"/>
    </row>
    <row r="4" spans="1:9" x14ac:dyDescent="0.25">
      <c r="A4" s="1"/>
      <c r="B4" s="116" t="s">
        <v>54</v>
      </c>
      <c r="C4" s="117"/>
      <c r="D4" s="117"/>
      <c r="E4" s="117"/>
      <c r="F4" s="117"/>
      <c r="G4" s="117"/>
      <c r="H4" s="118"/>
      <c r="I4" s="1"/>
    </row>
    <row r="5" spans="1:9" x14ac:dyDescent="0.25">
      <c r="A5" s="1"/>
      <c r="B5" s="113" t="s">
        <v>43</v>
      </c>
      <c r="C5" s="114"/>
      <c r="D5" s="114"/>
      <c r="E5" s="114"/>
      <c r="F5" s="115"/>
      <c r="G5" s="24">
        <v>14254145.969515087</v>
      </c>
      <c r="H5" s="14" t="s">
        <v>3</v>
      </c>
      <c r="I5" s="1"/>
    </row>
    <row r="6" spans="1:9" x14ac:dyDescent="0.25">
      <c r="A6" s="1"/>
      <c r="B6" s="113" t="s">
        <v>44</v>
      </c>
      <c r="C6" s="114"/>
      <c r="D6" s="114"/>
      <c r="E6" s="114"/>
      <c r="F6" s="115"/>
      <c r="G6" s="24">
        <f>G5*'Fane 12. Nøgletal'!C29</f>
        <v>285082.91939030174</v>
      </c>
      <c r="H6" s="14" t="s">
        <v>3</v>
      </c>
      <c r="I6" s="1"/>
    </row>
    <row r="7" spans="1:9" x14ac:dyDescent="0.25">
      <c r="A7" s="1"/>
      <c r="B7" s="58"/>
      <c r="C7" s="59"/>
      <c r="D7" s="59"/>
      <c r="E7" s="59"/>
      <c r="F7" s="59"/>
      <c r="G7" s="59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6" t="s">
        <v>55</v>
      </c>
      <c r="C9" s="117"/>
      <c r="D9" s="117"/>
      <c r="E9" s="117"/>
      <c r="F9" s="117"/>
      <c r="G9" s="117"/>
      <c r="H9" s="118"/>
      <c r="I9" s="1"/>
    </row>
    <row r="10" spans="1:9" x14ac:dyDescent="0.25">
      <c r="A10" s="1"/>
      <c r="B10" s="113" t="s">
        <v>45</v>
      </c>
      <c r="C10" s="114"/>
      <c r="D10" s="114"/>
      <c r="E10" s="114"/>
      <c r="F10" s="115"/>
      <c r="G10" s="24">
        <f>(G5-G6)*(1+'Fane 12. Nøgletal'!C9)</f>
        <v>14146470.150861369</v>
      </c>
      <c r="H10" s="14" t="s">
        <v>3</v>
      </c>
      <c r="I10" s="1"/>
    </row>
    <row r="11" spans="1:9" x14ac:dyDescent="0.25">
      <c r="A11" s="1"/>
      <c r="B11" s="119" t="s">
        <v>46</v>
      </c>
      <c r="C11" s="120"/>
      <c r="D11" s="120"/>
      <c r="E11" s="120"/>
      <c r="F11" s="121"/>
      <c r="G11" s="24">
        <v>0</v>
      </c>
      <c r="H11" s="14" t="s">
        <v>3</v>
      </c>
      <c r="I11" s="1"/>
    </row>
    <row r="12" spans="1:9" x14ac:dyDescent="0.25">
      <c r="A12" s="1"/>
      <c r="B12" s="113" t="s">
        <v>47</v>
      </c>
      <c r="C12" s="114"/>
      <c r="D12" s="114"/>
      <c r="E12" s="114"/>
      <c r="F12" s="115"/>
      <c r="G12" s="71">
        <f>(G10+G11)*'Fane 12. Nøgletal'!C29</f>
        <v>282929.40301722742</v>
      </c>
      <c r="H12" s="14" t="s">
        <v>3</v>
      </c>
      <c r="I12" s="1"/>
    </row>
    <row r="13" spans="1:9" x14ac:dyDescent="0.25">
      <c r="A13" s="1"/>
      <c r="B13" s="58"/>
      <c r="C13" s="59"/>
      <c r="D13" s="59"/>
      <c r="E13" s="59"/>
      <c r="F13" s="59"/>
      <c r="G13" s="59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6" t="s">
        <v>56</v>
      </c>
      <c r="C15" s="117"/>
      <c r="D15" s="117"/>
      <c r="E15" s="117"/>
      <c r="F15" s="117"/>
      <c r="G15" s="117"/>
      <c r="H15" s="118"/>
      <c r="I15" s="1"/>
    </row>
    <row r="16" spans="1:9" x14ac:dyDescent="0.25">
      <c r="A16" s="1"/>
      <c r="B16" s="113" t="s">
        <v>48</v>
      </c>
      <c r="C16" s="114"/>
      <c r="D16" s="114"/>
      <c r="E16" s="114"/>
      <c r="F16" s="115"/>
      <c r="G16" s="24">
        <f>(G10+G11-G12)*(1+'Fane 12. Nøgletal'!C11)</f>
        <v>14097834.586482707</v>
      </c>
      <c r="H16" s="14" t="s">
        <v>3</v>
      </c>
      <c r="I16" s="1"/>
    </row>
    <row r="17" spans="1:9" x14ac:dyDescent="0.25">
      <c r="A17" s="1"/>
      <c r="B17" s="113" t="s">
        <v>125</v>
      </c>
      <c r="C17" s="114"/>
      <c r="D17" s="114"/>
      <c r="E17" s="114"/>
      <c r="F17" s="115"/>
      <c r="G17" s="24">
        <v>492108.9162263113</v>
      </c>
      <c r="H17" s="14" t="s">
        <v>3</v>
      </c>
      <c r="I17" s="1"/>
    </row>
    <row r="18" spans="1:9" x14ac:dyDescent="0.25">
      <c r="A18" s="1"/>
      <c r="B18" s="119" t="s">
        <v>49</v>
      </c>
      <c r="C18" s="120"/>
      <c r="D18" s="120"/>
      <c r="E18" s="120"/>
      <c r="F18" s="121"/>
      <c r="G18" s="24">
        <v>1517724.3475401697</v>
      </c>
      <c r="H18" s="14" t="s">
        <v>3</v>
      </c>
      <c r="I18" s="1"/>
    </row>
    <row r="19" spans="1:9" x14ac:dyDescent="0.25">
      <c r="A19" s="1"/>
      <c r="B19" s="113" t="s">
        <v>50</v>
      </c>
      <c r="C19" s="114"/>
      <c r="D19" s="114"/>
      <c r="E19" s="114"/>
      <c r="F19" s="115"/>
      <c r="G19" s="24">
        <f>SUM(G16:G18)*'Fane 12. Nøgletal'!C29</f>
        <v>322153.35700498376</v>
      </c>
      <c r="H19" s="14" t="s">
        <v>3</v>
      </c>
      <c r="I19" s="1"/>
    </row>
    <row r="20" spans="1:9" x14ac:dyDescent="0.25">
      <c r="A20" s="1"/>
      <c r="B20" s="58"/>
      <c r="C20" s="59"/>
      <c r="D20" s="59"/>
      <c r="E20" s="59"/>
      <c r="F20" s="59"/>
      <c r="G20" s="59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6" t="s">
        <v>57</v>
      </c>
      <c r="C22" s="117"/>
      <c r="D22" s="117"/>
      <c r="E22" s="117"/>
      <c r="F22" s="117"/>
      <c r="G22" s="117"/>
      <c r="H22" s="118"/>
      <c r="I22" s="1"/>
    </row>
    <row r="23" spans="1:9" x14ac:dyDescent="0.25">
      <c r="A23" s="1"/>
      <c r="B23" s="113" t="s">
        <v>51</v>
      </c>
      <c r="C23" s="114"/>
      <c r="D23" s="114"/>
      <c r="E23" s="114"/>
      <c r="F23" s="115"/>
      <c r="G23" s="24">
        <f>(SUM(G16:G18)-G19)*(1+'Fane 12. Nøgletal'!C11)</f>
        <v>16052289.688180031</v>
      </c>
      <c r="H23" s="14" t="s">
        <v>3</v>
      </c>
      <c r="I23" s="1"/>
    </row>
    <row r="24" spans="1:9" x14ac:dyDescent="0.25">
      <c r="A24" s="1"/>
      <c r="B24" s="119" t="s">
        <v>52</v>
      </c>
      <c r="C24" s="120"/>
      <c r="D24" s="120"/>
      <c r="E24" s="120"/>
      <c r="F24" s="121"/>
      <c r="G24" s="24">
        <v>113724.74276757002</v>
      </c>
      <c r="H24" s="14" t="s">
        <v>3</v>
      </c>
      <c r="I24" s="1"/>
    </row>
    <row r="25" spans="1:9" x14ac:dyDescent="0.25">
      <c r="A25" s="1"/>
      <c r="B25" s="113" t="s">
        <v>53</v>
      </c>
      <c r="C25" s="114"/>
      <c r="D25" s="114"/>
      <c r="E25" s="114"/>
      <c r="F25" s="115"/>
      <c r="G25" s="24">
        <f>(G23+G24)*'Fane 12. Nøgletal'!C29</f>
        <v>323320.28861895204</v>
      </c>
      <c r="H25" s="14" t="s">
        <v>3</v>
      </c>
      <c r="I25" s="1"/>
    </row>
    <row r="26" spans="1:9" x14ac:dyDescent="0.25">
      <c r="A26" s="1"/>
      <c r="B26" s="58"/>
      <c r="C26" s="59"/>
      <c r="D26" s="59"/>
      <c r="E26" s="59"/>
      <c r="F26" s="59"/>
      <c r="G26" s="59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6" t="s">
        <v>175</v>
      </c>
      <c r="C28" s="117"/>
      <c r="D28" s="117"/>
      <c r="E28" s="117"/>
      <c r="F28" s="117"/>
      <c r="G28" s="117"/>
      <c r="H28" s="118"/>
      <c r="I28" s="1"/>
    </row>
    <row r="29" spans="1:9" x14ac:dyDescent="0.25">
      <c r="A29" s="1"/>
      <c r="B29" s="113" t="s">
        <v>60</v>
      </c>
      <c r="C29" s="114"/>
      <c r="D29" s="114"/>
      <c r="E29" s="114"/>
      <c r="F29" s="115"/>
      <c r="G29" s="24">
        <f>(G23+G24-G25)*(1+'Fane 12. Nøgletal'!C13)</f>
        <v>16035975.010865059</v>
      </c>
      <c r="H29" s="14" t="s">
        <v>3</v>
      </c>
      <c r="I29" s="1"/>
    </row>
    <row r="30" spans="1:9" x14ac:dyDescent="0.25">
      <c r="A30" s="1"/>
      <c r="B30" s="113" t="s">
        <v>147</v>
      </c>
      <c r="C30" s="114"/>
      <c r="D30" s="114"/>
      <c r="E30" s="114"/>
      <c r="F30" s="115"/>
      <c r="G30" s="24">
        <f>SUM('Fane 3. Omkostninger i ØR2021'!E10,'Fane 3. Omkostninger i ØR2021'!E12,'Fane 3. Omkostninger i ØR2021'!E14)*(1+'Fane 12. Nøgletal'!C13)</f>
        <v>24726.461704559999</v>
      </c>
      <c r="H30" s="14" t="s">
        <v>3</v>
      </c>
      <c r="I30" s="1"/>
    </row>
    <row r="31" spans="1:9" x14ac:dyDescent="0.25">
      <c r="A31" s="1"/>
      <c r="B31" s="113" t="s">
        <v>159</v>
      </c>
      <c r="C31" s="114"/>
      <c r="D31" s="114"/>
      <c r="E31" s="114"/>
      <c r="F31" s="115"/>
      <c r="G31" s="24">
        <f>(G29+G30)*'Fane 12. Nøgletal'!C29</f>
        <v>321214.02945139236</v>
      </c>
      <c r="H31" s="14" t="s">
        <v>3</v>
      </c>
      <c r="I31" s="1"/>
    </row>
    <row r="32" spans="1:9" x14ac:dyDescent="0.25">
      <c r="A32" s="1"/>
      <c r="B32" s="58"/>
      <c r="C32" s="59"/>
      <c r="D32" s="59"/>
      <c r="E32" s="59"/>
      <c r="F32" s="59"/>
      <c r="G32" s="59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6" t="s">
        <v>176</v>
      </c>
      <c r="C34" s="117"/>
      <c r="D34" s="117"/>
      <c r="E34" s="117"/>
      <c r="F34" s="117"/>
      <c r="G34" s="117"/>
      <c r="H34" s="118"/>
      <c r="I34" s="1"/>
    </row>
    <row r="35" spans="1:9" x14ac:dyDescent="0.25">
      <c r="A35" s="1"/>
      <c r="B35" s="113" t="s">
        <v>80</v>
      </c>
      <c r="C35" s="114"/>
      <c r="D35" s="114"/>
      <c r="E35" s="114"/>
      <c r="F35" s="115"/>
      <c r="G35" s="24">
        <f>(G29+G30-G31)*(1+'Fane 12. Nøgletal'!C13)</f>
        <v>15931509.189924268</v>
      </c>
      <c r="H35" s="14" t="s">
        <v>3</v>
      </c>
      <c r="I35" s="1"/>
    </row>
    <row r="36" spans="1:9" x14ac:dyDescent="0.25">
      <c r="A36" s="1"/>
      <c r="B36" s="37" t="s">
        <v>193</v>
      </c>
      <c r="C36" s="64"/>
      <c r="D36" s="64"/>
      <c r="E36" s="64"/>
      <c r="F36" s="65"/>
      <c r="G36" s="24">
        <f>SUM('Fane 2.1. Økonomisk ramme 2022'!C10)*(1+'Fane 12. Nøgletal'!C14)</f>
        <v>24022.991119775797</v>
      </c>
      <c r="H36" s="14" t="s">
        <v>3</v>
      </c>
      <c r="I36" s="1"/>
    </row>
    <row r="37" spans="1:9" x14ac:dyDescent="0.25">
      <c r="A37" s="1"/>
      <c r="B37" s="113" t="s">
        <v>222</v>
      </c>
      <c r="C37" s="114"/>
      <c r="D37" s="114"/>
      <c r="E37" s="114"/>
      <c r="F37" s="115"/>
      <c r="G37" s="71">
        <f>SUM('Fane 2.1. Økonomisk ramme 2022'!C12,'Fane 2.1. Økonomisk ramme 2022'!C14,'Fane 2.1. Økonomisk ramme 2022'!C16)*(1+'Fane 12. Nøgletal'!C14)</f>
        <v>0</v>
      </c>
      <c r="H37" s="14" t="s">
        <v>3</v>
      </c>
      <c r="I37" s="1"/>
    </row>
    <row r="38" spans="1:9" x14ac:dyDescent="0.25">
      <c r="A38" s="1"/>
      <c r="B38" s="113" t="s">
        <v>177</v>
      </c>
      <c r="C38" s="114"/>
      <c r="D38" s="114"/>
      <c r="E38" s="114"/>
      <c r="F38" s="115"/>
      <c r="G38" s="24">
        <f>(G35+G37)*'Fane 12. Nøgletal'!C29</f>
        <v>318630.18379848538</v>
      </c>
      <c r="H38" s="14" t="s">
        <v>3</v>
      </c>
      <c r="I38" s="1"/>
    </row>
    <row r="39" spans="1:9" x14ac:dyDescent="0.25">
      <c r="A39" s="1"/>
      <c r="B39" s="58"/>
      <c r="C39" s="59"/>
      <c r="D39" s="59"/>
      <c r="E39" s="59"/>
      <c r="F39" s="59"/>
      <c r="G39" s="59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6" t="s">
        <v>81</v>
      </c>
      <c r="C41" s="117"/>
      <c r="D41" s="117"/>
      <c r="E41" s="117"/>
      <c r="F41" s="117"/>
      <c r="G41" s="117"/>
      <c r="H41" s="118"/>
      <c r="I41" s="1"/>
    </row>
    <row r="42" spans="1:9" x14ac:dyDescent="0.25">
      <c r="A42" s="1"/>
      <c r="B42" s="113" t="s">
        <v>79</v>
      </c>
      <c r="C42" s="114"/>
      <c r="D42" s="114"/>
      <c r="E42" s="114"/>
      <c r="F42" s="115"/>
      <c r="G42" s="24">
        <f>(G35+G37-G38)*(1+'Fane 12. Nøgletal'!C14)</f>
        <v>15664401.506846</v>
      </c>
      <c r="H42" s="14" t="s">
        <v>3</v>
      </c>
      <c r="I42" s="1"/>
    </row>
    <row r="43" spans="1:9" x14ac:dyDescent="0.25">
      <c r="A43" s="1"/>
      <c r="B43" s="113" t="s">
        <v>92</v>
      </c>
      <c r="C43" s="114"/>
      <c r="D43" s="114"/>
      <c r="E43" s="114"/>
      <c r="F43" s="115"/>
      <c r="G43" s="71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3" t="s">
        <v>61</v>
      </c>
      <c r="C44" s="114"/>
      <c r="D44" s="114"/>
      <c r="E44" s="114"/>
      <c r="F44" s="115"/>
      <c r="G44" s="24">
        <f>(G42+G43)*'Fane 12. Nøgletal'!C29</f>
        <v>313288.03013691999</v>
      </c>
      <c r="H44" s="14" t="s">
        <v>3</v>
      </c>
      <c r="I44" s="1"/>
    </row>
    <row r="45" spans="1:9" x14ac:dyDescent="0.25">
      <c r="A45" s="1"/>
      <c r="B45" s="58"/>
      <c r="C45" s="59"/>
      <c r="D45" s="59"/>
      <c r="E45" s="59"/>
      <c r="F45" s="59"/>
      <c r="G45" s="59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6" t="s">
        <v>148</v>
      </c>
      <c r="C47" s="117"/>
      <c r="D47" s="117"/>
      <c r="E47" s="117"/>
      <c r="F47" s="117"/>
      <c r="G47" s="117"/>
      <c r="H47" s="118"/>
      <c r="I47" s="1"/>
    </row>
    <row r="48" spans="1:9" x14ac:dyDescent="0.25">
      <c r="A48" s="1"/>
      <c r="B48" s="113" t="s">
        <v>149</v>
      </c>
      <c r="C48" s="114"/>
      <c r="D48" s="114"/>
      <c r="E48" s="114"/>
      <c r="F48" s="115"/>
      <c r="G48" s="24">
        <f>(G42+G43-G44)*(1+'Fane 12. Nøgletal'!C14)</f>
        <v>15401772.151182219</v>
      </c>
      <c r="H48" s="14" t="s">
        <v>3</v>
      </c>
      <c r="I48" s="1"/>
    </row>
    <row r="49" spans="1:9" x14ac:dyDescent="0.25">
      <c r="A49" s="1"/>
      <c r="B49" s="113" t="s">
        <v>150</v>
      </c>
      <c r="C49" s="114"/>
      <c r="D49" s="114"/>
      <c r="E49" s="114"/>
      <c r="F49" s="115"/>
      <c r="G49" s="71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3" t="s">
        <v>151</v>
      </c>
      <c r="C50" s="114"/>
      <c r="D50" s="114"/>
      <c r="E50" s="114"/>
      <c r="F50" s="115"/>
      <c r="G50" s="24">
        <f>(G48+G49)*'Fane 12. Nøgletal'!C29</f>
        <v>308035.44302364439</v>
      </c>
      <c r="H50" s="14" t="s">
        <v>3</v>
      </c>
      <c r="I50" s="1"/>
    </row>
    <row r="51" spans="1:9" x14ac:dyDescent="0.25">
      <c r="A51" s="1"/>
      <c r="B51" s="58"/>
      <c r="C51" s="59"/>
      <c r="D51" s="59"/>
      <c r="E51" s="59"/>
      <c r="F51" s="59"/>
      <c r="G51" s="59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6" t="s">
        <v>199</v>
      </c>
      <c r="C53" s="117"/>
      <c r="D53" s="117"/>
      <c r="E53" s="117"/>
      <c r="F53" s="117"/>
      <c r="G53" s="117"/>
      <c r="H53" s="118"/>
      <c r="I53" s="1"/>
    </row>
    <row r="54" spans="1:9" x14ac:dyDescent="0.25">
      <c r="A54" s="1"/>
      <c r="B54" s="113" t="s">
        <v>200</v>
      </c>
      <c r="C54" s="114"/>
      <c r="D54" s="114"/>
      <c r="E54" s="114"/>
      <c r="F54" s="115"/>
      <c r="G54" s="24">
        <f>(G48+G49-G50)*(1+'Fane 12. Nøgletal'!C14)</f>
        <v>15143546.0392955</v>
      </c>
      <c r="H54" s="14" t="s">
        <v>3</v>
      </c>
      <c r="I54" s="1"/>
    </row>
    <row r="55" spans="1:9" x14ac:dyDescent="0.25">
      <c r="A55" s="1"/>
      <c r="B55" s="113" t="s">
        <v>201</v>
      </c>
      <c r="C55" s="114"/>
      <c r="D55" s="114"/>
      <c r="E55" s="114"/>
      <c r="F55" s="115"/>
      <c r="G55" s="71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3" t="s">
        <v>202</v>
      </c>
      <c r="C56" s="114"/>
      <c r="D56" s="114"/>
      <c r="E56" s="114"/>
      <c r="F56" s="115"/>
      <c r="G56" s="24">
        <f>(G54+G55)*'Fane 12. Nøgletal'!C29</f>
        <v>302870.92078590998</v>
      </c>
      <c r="H56" s="14" t="s">
        <v>3</v>
      </c>
      <c r="I56" s="1"/>
    </row>
    <row r="57" spans="1:9" x14ac:dyDescent="0.25">
      <c r="A57" s="1"/>
      <c r="B57" s="58"/>
      <c r="C57" s="59"/>
      <c r="D57" s="59"/>
      <c r="E57" s="59"/>
      <c r="F57" s="59"/>
      <c r="G57" s="59"/>
      <c r="H57" s="20"/>
      <c r="I57" s="1"/>
    </row>
  </sheetData>
  <sheetProtection algorithmName="SHA-512" hashValue="sDBiKJkXGSS6X//RdQJudX0kzibpnB+oAm7s5ZUzHiV80msP+FBMG+KpA368LOqJtCb4RkF4MU4Rc5wYrpLrYg==" saltValue="4UmpuRl3HR+gzQRXnqRPaw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2" t="s">
        <v>116</v>
      </c>
      <c r="C1" s="123"/>
      <c r="D1" s="123"/>
      <c r="E1" s="123"/>
      <c r="F1" s="123"/>
      <c r="G1" s="123"/>
      <c r="H1" s="123"/>
      <c r="I1" s="1"/>
    </row>
    <row r="2" spans="1:9" ht="19.899999999999999" customHeight="1" x14ac:dyDescent="0.25">
      <c r="A2" s="1"/>
      <c r="B2" s="123"/>
      <c r="C2" s="123"/>
      <c r="D2" s="123"/>
      <c r="E2" s="123"/>
      <c r="F2" s="123"/>
      <c r="G2" s="123"/>
      <c r="H2" s="123"/>
      <c r="I2" s="1"/>
    </row>
    <row r="3" spans="1:9" ht="15" customHeight="1" x14ac:dyDescent="0.25">
      <c r="A3" s="1"/>
      <c r="B3" s="124"/>
      <c r="C3" s="124"/>
      <c r="D3" s="124"/>
      <c r="E3" s="124"/>
      <c r="F3" s="124"/>
      <c r="G3" s="124"/>
      <c r="H3" s="124"/>
      <c r="I3" s="1"/>
    </row>
    <row r="4" spans="1:9" x14ac:dyDescent="0.25">
      <c r="A4" s="1"/>
      <c r="B4" s="116" t="s">
        <v>58</v>
      </c>
      <c r="C4" s="117"/>
      <c r="D4" s="117"/>
      <c r="E4" s="117"/>
      <c r="F4" s="117"/>
      <c r="G4" s="117"/>
      <c r="H4" s="118"/>
      <c r="I4" s="1"/>
    </row>
    <row r="5" spans="1:9" x14ac:dyDescent="0.25">
      <c r="A5" s="1"/>
      <c r="B5" s="113" t="s">
        <v>62</v>
      </c>
      <c r="C5" s="114"/>
      <c r="D5" s="114"/>
      <c r="E5" s="114"/>
      <c r="F5" s="115"/>
      <c r="G5" s="24">
        <v>31631792.64663896</v>
      </c>
      <c r="H5" s="14" t="s">
        <v>3</v>
      </c>
      <c r="I5" s="1"/>
    </row>
    <row r="6" spans="1:9" x14ac:dyDescent="0.25">
      <c r="A6" s="1"/>
      <c r="B6" s="113" t="s">
        <v>59</v>
      </c>
      <c r="C6" s="114"/>
      <c r="D6" s="114"/>
      <c r="E6" s="114"/>
      <c r="F6" s="115"/>
      <c r="G6" s="24">
        <f>G5*'Fane 12. Nøgletal'!C19</f>
        <v>287849.31308441452</v>
      </c>
      <c r="H6" s="14" t="s">
        <v>3</v>
      </c>
      <c r="I6" s="1"/>
    </row>
    <row r="7" spans="1:9" x14ac:dyDescent="0.25">
      <c r="A7" s="1"/>
      <c r="B7" s="58"/>
      <c r="C7" s="59"/>
      <c r="D7" s="59"/>
      <c r="E7" s="59"/>
      <c r="F7" s="59"/>
      <c r="G7" s="59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6" t="s">
        <v>63</v>
      </c>
      <c r="C9" s="117"/>
      <c r="D9" s="117"/>
      <c r="E9" s="117"/>
      <c r="F9" s="117"/>
      <c r="G9" s="117"/>
      <c r="H9" s="118"/>
      <c r="I9" s="1"/>
    </row>
    <row r="10" spans="1:9" x14ac:dyDescent="0.25">
      <c r="A10" s="1"/>
      <c r="B10" s="113" t="s">
        <v>64</v>
      </c>
      <c r="C10" s="114"/>
      <c r="D10" s="114"/>
      <c r="E10" s="114"/>
      <c r="F10" s="115"/>
      <c r="G10" s="24">
        <f>(G5-G6)*(1+'Fane 12. Nøgletal'!C9)</f>
        <v>31742011.413890686</v>
      </c>
      <c r="H10" s="14" t="s">
        <v>3</v>
      </c>
      <c r="I10" s="1"/>
    </row>
    <row r="11" spans="1:9" x14ac:dyDescent="0.25">
      <c r="A11" s="1"/>
      <c r="B11" s="119" t="s">
        <v>65</v>
      </c>
      <c r="C11" s="120"/>
      <c r="D11" s="120"/>
      <c r="E11" s="120"/>
      <c r="F11" s="121"/>
      <c r="G11" s="71">
        <v>0</v>
      </c>
      <c r="H11" s="14" t="s">
        <v>3</v>
      </c>
      <c r="I11" s="1"/>
    </row>
    <row r="12" spans="1:9" x14ac:dyDescent="0.25">
      <c r="A12" s="1"/>
      <c r="B12" s="113" t="s">
        <v>66</v>
      </c>
      <c r="C12" s="114"/>
      <c r="D12" s="114"/>
      <c r="E12" s="114"/>
      <c r="F12" s="115"/>
      <c r="G12" s="24">
        <f>G10*'Fane 12. Nøgletal'!C19+G11*'Fane 12. Nøgletal'!C20</f>
        <v>288852.30386640527</v>
      </c>
      <c r="H12" s="14" t="s">
        <v>3</v>
      </c>
      <c r="I12" s="1"/>
    </row>
    <row r="13" spans="1:9" x14ac:dyDescent="0.25">
      <c r="A13" s="1"/>
      <c r="B13" s="58"/>
      <c r="C13" s="59"/>
      <c r="D13" s="59"/>
      <c r="E13" s="59"/>
      <c r="F13" s="59"/>
      <c r="G13" s="59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6" t="s">
        <v>67</v>
      </c>
      <c r="C15" s="117"/>
      <c r="D15" s="117"/>
      <c r="E15" s="117"/>
      <c r="F15" s="117"/>
      <c r="G15" s="117"/>
      <c r="H15" s="118"/>
      <c r="I15" s="1"/>
    </row>
    <row r="16" spans="1:9" x14ac:dyDescent="0.25">
      <c r="A16" s="1"/>
      <c r="B16" s="113" t="s">
        <v>68</v>
      </c>
      <c r="C16" s="114"/>
      <c r="D16" s="114"/>
      <c r="E16" s="114"/>
      <c r="F16" s="115"/>
      <c r="G16" s="24">
        <f>(G10+G11-G12)*(1+'Fane 12. Nøgletal'!C11)</f>
        <v>31984717.498983689</v>
      </c>
      <c r="H16" s="14" t="s">
        <v>3</v>
      </c>
      <c r="I16" s="1"/>
    </row>
    <row r="17" spans="1:9" x14ac:dyDescent="0.25">
      <c r="A17" s="1"/>
      <c r="B17" s="113" t="s">
        <v>126</v>
      </c>
      <c r="C17" s="114"/>
      <c r="D17" s="114"/>
      <c r="E17" s="114"/>
      <c r="F17" s="115"/>
      <c r="G17" s="24">
        <v>-60756.635395229518</v>
      </c>
      <c r="H17" s="14" t="s">
        <v>3</v>
      </c>
      <c r="I17" s="1"/>
    </row>
    <row r="18" spans="1:9" x14ac:dyDescent="0.25">
      <c r="A18" s="1"/>
      <c r="B18" s="119" t="s">
        <v>69</v>
      </c>
      <c r="C18" s="120"/>
      <c r="D18" s="120"/>
      <c r="E18" s="120"/>
      <c r="F18" s="121"/>
      <c r="G18" s="24">
        <v>946830.50031380984</v>
      </c>
      <c r="H18" s="14" t="s">
        <v>3</v>
      </c>
      <c r="I18" s="1"/>
    </row>
    <row r="19" spans="1:9" x14ac:dyDescent="0.25">
      <c r="A19" s="1"/>
      <c r="B19" s="113" t="s">
        <v>70</v>
      </c>
      <c r="C19" s="114"/>
      <c r="D19" s="114"/>
      <c r="E19" s="114"/>
      <c r="F19" s="115"/>
      <c r="G19" s="24">
        <f>(G16+G17+G18)*'Fane 12. Nøgletal'!C21</f>
        <v>285975.88486594975</v>
      </c>
      <c r="H19" s="14" t="s">
        <v>3</v>
      </c>
      <c r="I19" s="1"/>
    </row>
    <row r="20" spans="1:9" x14ac:dyDescent="0.25">
      <c r="A20" s="1"/>
      <c r="B20" s="58"/>
      <c r="C20" s="59"/>
      <c r="D20" s="59"/>
      <c r="E20" s="59"/>
      <c r="F20" s="59"/>
      <c r="G20" s="59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6" t="s">
        <v>71</v>
      </c>
      <c r="C22" s="117"/>
      <c r="D22" s="117"/>
      <c r="E22" s="117"/>
      <c r="F22" s="117"/>
      <c r="G22" s="117"/>
      <c r="H22" s="118"/>
      <c r="I22" s="1"/>
    </row>
    <row r="23" spans="1:9" x14ac:dyDescent="0.25">
      <c r="A23" s="1"/>
      <c r="B23" s="113" t="s">
        <v>72</v>
      </c>
      <c r="C23" s="114"/>
      <c r="D23" s="114"/>
      <c r="E23" s="114"/>
      <c r="F23" s="115"/>
      <c r="G23" s="24">
        <f>(SUM(G16:G18)-G19)*(1+'Fane 12. Nøgletal'!C11)</f>
        <v>33135498.860632032</v>
      </c>
      <c r="H23" s="14" t="s">
        <v>3</v>
      </c>
      <c r="I23" s="1"/>
    </row>
    <row r="24" spans="1:9" x14ac:dyDescent="0.25">
      <c r="A24" s="1"/>
      <c r="B24" s="119" t="s">
        <v>73</v>
      </c>
      <c r="C24" s="120"/>
      <c r="D24" s="120"/>
      <c r="E24" s="120"/>
      <c r="F24" s="121"/>
      <c r="G24" s="24">
        <v>495578.49653654109</v>
      </c>
      <c r="H24" s="14" t="s">
        <v>3</v>
      </c>
      <c r="I24" s="1"/>
    </row>
    <row r="25" spans="1:9" x14ac:dyDescent="0.25">
      <c r="A25" s="1"/>
      <c r="B25" s="113" t="s">
        <v>74</v>
      </c>
      <c r="C25" s="114"/>
      <c r="D25" s="114"/>
      <c r="E25" s="114"/>
      <c r="F25" s="115"/>
      <c r="G25" s="24">
        <f>G23*'Fane 12. Nøgletal'!C21+G24*'Fane 12. Nøgletal'!C22</f>
        <v>302353.2693891364</v>
      </c>
      <c r="H25" s="14" t="s">
        <v>3</v>
      </c>
      <c r="I25" s="1"/>
    </row>
    <row r="26" spans="1:9" x14ac:dyDescent="0.25">
      <c r="A26" s="1"/>
      <c r="B26" s="58"/>
      <c r="C26" s="59"/>
      <c r="D26" s="59"/>
      <c r="E26" s="59"/>
      <c r="F26" s="59"/>
      <c r="G26" s="59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6" t="s">
        <v>173</v>
      </c>
      <c r="C28" s="117"/>
      <c r="D28" s="117"/>
      <c r="E28" s="117"/>
      <c r="F28" s="117"/>
      <c r="G28" s="117"/>
      <c r="H28" s="118"/>
      <c r="I28" s="1"/>
    </row>
    <row r="29" spans="1:9" x14ac:dyDescent="0.25">
      <c r="A29" s="1"/>
      <c r="B29" s="113" t="s">
        <v>75</v>
      </c>
      <c r="C29" s="114"/>
      <c r="D29" s="114"/>
      <c r="E29" s="114"/>
      <c r="F29" s="115"/>
      <c r="G29" s="24">
        <f>(G23+G24-G25)*(1+'Fane 12. Nøgletal'!C13)</f>
        <v>33735334.521650344</v>
      </c>
      <c r="H29" s="14" t="s">
        <v>3</v>
      </c>
      <c r="I29" s="1"/>
    </row>
    <row r="30" spans="1:9" x14ac:dyDescent="0.25">
      <c r="A30" s="1"/>
      <c r="B30" s="113" t="s">
        <v>152</v>
      </c>
      <c r="C30" s="114"/>
      <c r="D30" s="114"/>
      <c r="E30" s="114"/>
      <c r="F30" s="115"/>
      <c r="G30" s="24">
        <v>67043.402443079991</v>
      </c>
      <c r="H30" s="14" t="s">
        <v>3</v>
      </c>
      <c r="I30" s="1"/>
    </row>
    <row r="31" spans="1:9" x14ac:dyDescent="0.25">
      <c r="A31" s="1"/>
      <c r="B31" s="113" t="s">
        <v>174</v>
      </c>
      <c r="C31" s="114"/>
      <c r="D31" s="114"/>
      <c r="E31" s="114"/>
      <c r="F31" s="115"/>
      <c r="G31" s="24">
        <f>(G29+G30)*'Fane 12. Nøgletal'!C23</f>
        <v>929565.39291256922</v>
      </c>
      <c r="H31" s="14" t="s">
        <v>3</v>
      </c>
      <c r="I31" s="1"/>
    </row>
    <row r="32" spans="1:9" x14ac:dyDescent="0.25">
      <c r="A32" s="1"/>
      <c r="B32" s="58"/>
      <c r="C32" s="59"/>
      <c r="D32" s="59"/>
      <c r="E32" s="59"/>
      <c r="F32" s="59"/>
      <c r="G32" s="59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6" t="s">
        <v>178</v>
      </c>
      <c r="C34" s="117"/>
      <c r="D34" s="117"/>
      <c r="E34" s="117"/>
      <c r="F34" s="117"/>
      <c r="G34" s="117"/>
      <c r="H34" s="118"/>
      <c r="I34" s="1"/>
    </row>
    <row r="35" spans="1:9" x14ac:dyDescent="0.25">
      <c r="A35" s="1"/>
      <c r="B35" s="113" t="s">
        <v>78</v>
      </c>
      <c r="C35" s="114"/>
      <c r="D35" s="114"/>
      <c r="E35" s="114"/>
      <c r="F35" s="115"/>
      <c r="G35" s="24">
        <f>(G29+G30-G31)*(1+'Fane 12. Nøgletal'!C13)</f>
        <v>33273860.844061259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64631.525346609087</v>
      </c>
      <c r="H36" s="14" t="s">
        <v>3</v>
      </c>
      <c r="I36" s="38"/>
    </row>
    <row r="37" spans="1:9" x14ac:dyDescent="0.25">
      <c r="A37" s="1"/>
      <c r="B37" s="113" t="s">
        <v>194</v>
      </c>
      <c r="C37" s="114"/>
      <c r="D37" s="114"/>
      <c r="E37" s="114"/>
      <c r="F37" s="115"/>
      <c r="G37" s="71">
        <f>SUM('Fane 2.1. Økonomisk ramme 2022'!C13,'Fane 2.1. Økonomisk ramme 2022'!C15,'Fane 2.1. Økonomisk ramme 2022'!C17)*(1+'Fane 12. Nøgletal'!C14)</f>
        <v>0</v>
      </c>
      <c r="H37" s="14" t="s">
        <v>3</v>
      </c>
      <c r="I37" s="1"/>
    </row>
    <row r="38" spans="1:9" x14ac:dyDescent="0.25">
      <c r="A38" s="1"/>
      <c r="B38" s="113" t="s">
        <v>179</v>
      </c>
      <c r="C38" s="114"/>
      <c r="D38" s="114"/>
      <c r="E38" s="114"/>
      <c r="F38" s="115"/>
      <c r="G38" s="24">
        <f>G35*'Fane 12. Nøgletal'!C23+G37*'Fane 12. Nøgletal'!C24</f>
        <v>915031.17321168468</v>
      </c>
      <c r="H38" s="14" t="s">
        <v>3</v>
      </c>
      <c r="I38" s="1"/>
    </row>
    <row r="39" spans="1:9" x14ac:dyDescent="0.25">
      <c r="A39" s="1"/>
      <c r="B39" s="58"/>
      <c r="C39" s="59"/>
      <c r="D39" s="59"/>
      <c r="E39" s="59"/>
      <c r="F39" s="59"/>
      <c r="G39" s="59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6" t="s">
        <v>82</v>
      </c>
      <c r="C41" s="117"/>
      <c r="D41" s="117"/>
      <c r="E41" s="117"/>
      <c r="F41" s="117"/>
      <c r="G41" s="117"/>
      <c r="H41" s="118"/>
      <c r="I41" s="1"/>
    </row>
    <row r="42" spans="1:9" x14ac:dyDescent="0.25">
      <c r="A42" s="1"/>
      <c r="B42" s="113" t="s">
        <v>77</v>
      </c>
      <c r="C42" s="114"/>
      <c r="D42" s="114"/>
      <c r="E42" s="114"/>
      <c r="F42" s="115"/>
      <c r="G42" s="24">
        <f>(G35+G37-G38)*(1+'Fane 12. Nøgletal'!C14)</f>
        <v>32465613.808763377</v>
      </c>
      <c r="H42" s="14" t="s">
        <v>3</v>
      </c>
      <c r="I42" s="1"/>
    </row>
    <row r="43" spans="1:9" x14ac:dyDescent="0.25">
      <c r="A43" s="1"/>
      <c r="B43" s="113" t="s">
        <v>96</v>
      </c>
      <c r="C43" s="114"/>
      <c r="D43" s="114"/>
      <c r="E43" s="114"/>
      <c r="F43" s="115"/>
      <c r="G43" s="71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3" t="s">
        <v>76</v>
      </c>
      <c r="C44" s="114"/>
      <c r="D44" s="114"/>
      <c r="E44" s="114"/>
      <c r="F44" s="115"/>
      <c r="G44" s="24">
        <f>(G42+G43)*'Fane 12. Nøgletal'!C24</f>
        <v>480491.08436969802</v>
      </c>
      <c r="H44" s="14" t="s">
        <v>3</v>
      </c>
      <c r="I44" s="1"/>
    </row>
    <row r="45" spans="1:9" x14ac:dyDescent="0.25">
      <c r="A45" s="1"/>
      <c r="B45" s="58"/>
      <c r="C45" s="59"/>
      <c r="D45" s="59"/>
      <c r="E45" s="59"/>
      <c r="F45" s="59"/>
      <c r="G45" s="59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6" t="s">
        <v>153</v>
      </c>
      <c r="C47" s="117"/>
      <c r="D47" s="117"/>
      <c r="E47" s="117"/>
      <c r="F47" s="117"/>
      <c r="G47" s="117"/>
      <c r="H47" s="118"/>
      <c r="I47" s="1"/>
    </row>
    <row r="48" spans="1:9" x14ac:dyDescent="0.25">
      <c r="A48" s="1"/>
      <c r="B48" s="113" t="s">
        <v>154</v>
      </c>
      <c r="C48" s="114"/>
      <c r="D48" s="114"/>
      <c r="E48" s="114"/>
      <c r="F48" s="115"/>
      <c r="G48" s="24">
        <f>(G42+G43-G44)*(1+'Fane 12. Nøgletal'!C14)</f>
        <v>32090673.629384182</v>
      </c>
      <c r="H48" s="14" t="s">
        <v>3</v>
      </c>
      <c r="I48" s="1"/>
    </row>
    <row r="49" spans="1:9" x14ac:dyDescent="0.25">
      <c r="A49" s="1"/>
      <c r="B49" s="113" t="s">
        <v>155</v>
      </c>
      <c r="C49" s="114"/>
      <c r="D49" s="114"/>
      <c r="E49" s="114"/>
      <c r="F49" s="115"/>
      <c r="G49" s="71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3" t="s">
        <v>156</v>
      </c>
      <c r="C50" s="114"/>
      <c r="D50" s="114"/>
      <c r="E50" s="114"/>
      <c r="F50" s="115"/>
      <c r="G50" s="24">
        <f>(G48+G49)*'Fane 12. Nøgletal'!C24</f>
        <v>474941.96971488593</v>
      </c>
      <c r="H50" s="14" t="s">
        <v>3</v>
      </c>
      <c r="I50" s="1"/>
    </row>
    <row r="51" spans="1:9" x14ac:dyDescent="0.25">
      <c r="A51" s="1"/>
      <c r="B51" s="58"/>
      <c r="C51" s="59"/>
      <c r="D51" s="59"/>
      <c r="E51" s="59"/>
      <c r="F51" s="59"/>
      <c r="G51" s="59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6" t="s">
        <v>195</v>
      </c>
      <c r="C53" s="117"/>
      <c r="D53" s="117"/>
      <c r="E53" s="117"/>
      <c r="F53" s="117"/>
      <c r="G53" s="117"/>
      <c r="H53" s="118"/>
      <c r="I53" s="1"/>
    </row>
    <row r="54" spans="1:9" x14ac:dyDescent="0.25">
      <c r="A54" s="1"/>
      <c r="B54" s="113" t="s">
        <v>196</v>
      </c>
      <c r="C54" s="114"/>
      <c r="D54" s="114"/>
      <c r="E54" s="114"/>
      <c r="F54" s="115"/>
      <c r="G54" s="24">
        <f>(G48+G49-G50)*(1+'Fane 12. Nøgletal'!C14)</f>
        <v>31720063.574146207</v>
      </c>
      <c r="H54" s="14" t="s">
        <v>3</v>
      </c>
      <c r="I54" s="1"/>
    </row>
    <row r="55" spans="1:9" x14ac:dyDescent="0.25">
      <c r="A55" s="1"/>
      <c r="B55" s="113" t="s">
        <v>197</v>
      </c>
      <c r="C55" s="114"/>
      <c r="D55" s="114"/>
      <c r="E55" s="114"/>
      <c r="F55" s="115"/>
      <c r="G55" s="71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3" t="s">
        <v>198</v>
      </c>
      <c r="C56" s="114"/>
      <c r="D56" s="114"/>
      <c r="E56" s="114"/>
      <c r="F56" s="115"/>
      <c r="G56" s="24">
        <f>(G54+G55)*'Fane 12. Nøgletal'!C24</f>
        <v>469456.94089736388</v>
      </c>
      <c r="H56" s="14" t="s">
        <v>3</v>
      </c>
      <c r="I56" s="1"/>
    </row>
    <row r="57" spans="1:9" x14ac:dyDescent="0.25">
      <c r="A57" s="1"/>
      <c r="B57" s="58"/>
      <c r="C57" s="59"/>
      <c r="D57" s="59"/>
      <c r="E57" s="59"/>
      <c r="F57" s="59"/>
      <c r="G57" s="59"/>
      <c r="H57" s="20"/>
      <c r="I57" s="1"/>
    </row>
  </sheetData>
  <sheetProtection algorithmName="SHA-512" hashValue="3f1rgfv4p+S7WPkuPqsrocRUuo+lKrPTy3QZ+MLnO3Rup36761eMjCJzIY7YtzvKXtCFRe58JVUpyxvTYopM4g==" saltValue="Rx4ejXFAv2noUNTkN8/7DA==" spinCount="100000" sheet="1" objects="1" scenarios="1"/>
  <mergeCells count="37"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48:F48"/>
    <mergeCell ref="B49:F49"/>
    <mergeCell ref="B50:F50"/>
    <mergeCell ref="B37:F37"/>
    <mergeCell ref="B43:F43"/>
    <mergeCell ref="B42:F42"/>
    <mergeCell ref="B41:H41"/>
    <mergeCell ref="B38:F3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91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6" t="s">
        <v>9</v>
      </c>
      <c r="C8" s="117"/>
      <c r="D8" s="117"/>
      <c r="E8" s="117"/>
      <c r="F8" s="117"/>
      <c r="G8" s="117"/>
      <c r="H8" s="118"/>
      <c r="I8" s="1"/>
    </row>
    <row r="9" spans="1:9" x14ac:dyDescent="0.25">
      <c r="A9" s="1"/>
      <c r="B9" s="113" t="s">
        <v>105</v>
      </c>
      <c r="C9" s="114"/>
      <c r="D9" s="114"/>
      <c r="E9" s="114"/>
      <c r="F9" s="115"/>
      <c r="G9" s="44">
        <v>1.6003660562819523E-2</v>
      </c>
      <c r="H9" s="14"/>
      <c r="I9" s="1"/>
    </row>
    <row r="10" spans="1:9" x14ac:dyDescent="0.25">
      <c r="A10" s="1"/>
      <c r="B10" s="113" t="s">
        <v>141</v>
      </c>
      <c r="C10" s="114"/>
      <c r="D10" s="114"/>
      <c r="E10" s="114"/>
      <c r="F10" s="115"/>
      <c r="G10" s="44">
        <v>1.16456804426867E-2</v>
      </c>
      <c r="H10" s="14"/>
      <c r="I10" s="1"/>
    </row>
    <row r="11" spans="1:9" x14ac:dyDescent="0.25">
      <c r="A11" s="1"/>
      <c r="B11" s="58"/>
      <c r="C11" s="59"/>
      <c r="D11" s="59"/>
      <c r="E11" s="59"/>
      <c r="F11" s="59"/>
      <c r="G11" s="59"/>
      <c r="H11" s="20"/>
      <c r="I11" s="1"/>
    </row>
    <row r="12" spans="1:9" ht="14.25" customHeight="1" x14ac:dyDescent="0.25">
      <c r="A12" s="1"/>
      <c r="B12" s="125" t="s">
        <v>192</v>
      </c>
      <c r="C12" s="126"/>
      <c r="D12" s="126"/>
      <c r="E12" s="126"/>
      <c r="F12" s="126"/>
      <c r="G12" s="126"/>
      <c r="H12" s="127"/>
      <c r="I12" s="1"/>
    </row>
    <row r="13" spans="1:9" ht="12.75" customHeight="1" x14ac:dyDescent="0.25">
      <c r="A13" s="18"/>
      <c r="B13" s="128"/>
      <c r="C13" s="129"/>
      <c r="D13" s="129"/>
      <c r="E13" s="129"/>
      <c r="F13" s="129"/>
      <c r="G13" s="129"/>
      <c r="H13" s="130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aYXAuetkTAZhjvv77PnS/xYRSw5ybDsICxW179rNshVk/YRmr8wrOGgzPEMlBJmeBlyeHPZFYtmvaaWlZBndug==" saltValue="6edf8Be2O1vZ+xZz3bBsMw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2021-10-06T11:58:52Z</dcterms:modified>
</cp:coreProperties>
</file>