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Kalundborg Spildevandsanlæg AS (S056)\ØR2024\"/>
    </mc:Choice>
  </mc:AlternateContent>
  <xr:revisionPtr revIDLastSave="0" documentId="13_ncr:1_{5EAF4EB3-06AC-446F-BAF2-71D88901700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G55" i="36" l="1"/>
  <c r="G53" i="36"/>
  <c r="G43" i="36"/>
  <c r="G42" i="36"/>
  <c r="G41" i="36"/>
  <c r="G36" i="36"/>
  <c r="G37" i="36"/>
  <c r="G35" i="36"/>
  <c r="G30" i="36"/>
  <c r="G31" i="36"/>
  <c r="G29" i="36"/>
  <c r="G24" i="36"/>
  <c r="G25" i="36"/>
  <c r="G18" i="36"/>
  <c r="G19" i="36"/>
  <c r="C20" i="15" l="1"/>
  <c r="C34" i="2"/>
  <c r="E16" i="44" l="1"/>
  <c r="E18" i="44" s="1"/>
  <c r="E17" i="44"/>
  <c r="E25" i="44" l="1"/>
  <c r="E29" i="44" s="1"/>
  <c r="E31" i="44" s="1"/>
  <c r="C9" i="2"/>
  <c r="C32" i="2" l="1"/>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C26" i="2" l="1"/>
  <c r="C28" i="2" s="1"/>
  <c r="C27" i="2" l="1"/>
  <c r="C29" i="2" s="1"/>
  <c r="C30" i="2" l="1"/>
  <c r="C18" i="22" l="1"/>
  <c r="C22" i="2"/>
  <c r="C18" i="23" l="1"/>
  <c r="E16" i="40"/>
  <c r="E12" i="40" l="1"/>
  <c r="G7" i="30" l="1"/>
  <c r="G11" i="30" s="1"/>
  <c r="E18" i="20" l="1"/>
  <c r="E12" i="20"/>
  <c r="E13" i="20" s="1"/>
  <c r="E19" i="20" l="1"/>
  <c r="C18" i="15" s="1"/>
  <c r="C24" i="2"/>
  <c r="E17" i="40"/>
  <c r="E12" i="21" l="1"/>
  <c r="E13" i="21" s="1"/>
  <c r="C13" i="2" l="1"/>
  <c r="G17" i="36" l="1"/>
  <c r="G15" i="30" l="1"/>
  <c r="G19" i="30" s="1"/>
  <c r="G23" i="36" l="1"/>
  <c r="G21" i="30"/>
  <c r="G25" i="30" l="1"/>
  <c r="C10" i="37" l="1"/>
  <c r="C19" i="37" s="1"/>
  <c r="C20" i="37" s="1"/>
  <c r="C10" i="2" l="1"/>
  <c r="G53" i="30" l="1"/>
  <c r="G27" i="30" l="1"/>
  <c r="G31" i="30" l="1"/>
  <c r="E10" i="37"/>
  <c r="E19" i="37" s="1"/>
  <c r="E20" i="37" s="1"/>
  <c r="G33" i="30" l="1"/>
  <c r="G37" i="30" s="1"/>
  <c r="G39" i="30" l="1"/>
  <c r="G43" i="30" s="1"/>
  <c r="C11" i="2"/>
  <c r="G45" i="30" l="1"/>
  <c r="G54" i="36"/>
  <c r="C19" i="2" s="1"/>
  <c r="G52" i="30" l="1"/>
  <c r="G54" i="30" s="1"/>
  <c r="G58" i="30" s="1"/>
  <c r="G59" i="36"/>
  <c r="C16" i="2"/>
  <c r="C17" i="2" s="1"/>
  <c r="G60" i="36" l="1"/>
  <c r="C13" i="15" s="1"/>
  <c r="C18" i="2"/>
  <c r="C20" i="2" s="1"/>
  <c r="G64" i="36"/>
  <c r="G65" i="36" l="1"/>
  <c r="C13" i="22" s="1"/>
  <c r="G69" i="36"/>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<sst xmlns="http://schemas.openxmlformats.org/spreadsheetml/2006/main" count="659" uniqueCount="293">
  <si>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</si>
  <si>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</si>
  <si>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</si>
  <si>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</si>
  <si>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</si>
  <si>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</si>
  <si>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</si>
  <si>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</si>
  <si>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</si>
  <si>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</si>
  <si>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</si>
  <si>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</si>
  <si>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</si>
  <si>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</si>
  <si>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</si>
  <si>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</si>
  <si>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</si>
  <si>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</si>
  <si>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</si>
  <si>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</si>
  <si>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</si>
  <si>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</si>
  <si>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</si>
  <si>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</si>
  <si>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</si>
  <si>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</si>
  <si>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</si>
  <si>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</si>
  <si>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</si>
  <si>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</si>
  <si>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</si>
  <si>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</si>
  <si>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</si>
  <si>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</si>
  <si>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</si>
  <si>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</si>
  <si>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</si>
  <si>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</si>
  <si>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</si>
  <si>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</si>
  <si>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</si>
  <si>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</si>
  <si>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</si>
  <si>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</si>
  <si>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</si>
  <si>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</si>
  <si>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</si>
  <si>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</si>
  <si>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</si>
  <si>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</si>
  <si>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</si>
  <si>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</si>
  <si>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</si>
  <si>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</si>
  <si>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</si>
  <si>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</si>
  <si>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</si>
  <si>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</si>
  <si>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</si>
  <si>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</si>
  <si>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</si>
  <si>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</si>
  <si>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</si>
  <si>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</si>
  <si>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</si>
  <si>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</si>
  <si>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</si>
  <si>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</si>
  <si>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</si>
  <si>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</si>
  <si>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</si>
  <si>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</si>
  <si>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</si>
  <si>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</si>
  <si>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</si>
  <si>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</si>
  <si>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</si>
  <si>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</si>
  <si>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</si>
  <si>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</si>
  <si>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</si>
  <si>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</si>
  <si>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</si>
  <si>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</si>
  <si>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</si>
  <si>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</si>
  <si>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</si>
  <si>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</si>
  <si>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</si>
  <si>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</si>
  <si>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</si>
  <si>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</si>
  <si>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</si>
  <si>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</si>
  <si>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</si>
  <si>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</si>
  <si>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</si>
  <si>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</si>
  <si>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</si>
  <si>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</si>
  <si>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</si>
  <si>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</si>
  <si>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</si>
  <si>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</si>
  <si>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</si>
  <si>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</si>
  <si>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</si>
  <si>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</si>
  <si>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</si>
  <si>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</si>
  <si>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</si>
  <si>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</si>
  <si>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</si>
  <si>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</si>
  <si>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</si>
  <si>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</si>
  <si>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</si>
  <si>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</si>
  <si>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</si>
  <si>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</si>
  <si>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</si>
  <si>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</si>
  <si>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</si>
  <si>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</si>
  <si>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</si>
  <si>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</si>
  <si>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</si>
  <si>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</si>
  <si>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</si>
  <si>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</si>
  <si>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</si>
  <si>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</si>
  <si>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</si>
  <si>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</si>
  <si>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</si>
  <si>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</si>
  <si>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</si>
  <si>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</si>
  <si>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</si>
  <si>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</si>
  <si>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</si>
  <si>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</si>
  <si>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</si>
  <si>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</si>
  <si>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</si>
  <si>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</si>
  <si>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</si>
  <si>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</si>
  <si>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</si>
  <si>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</si>
  <si>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</si>
  <si>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</si>
  <si>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</si>
  <si>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</si>
  <si>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</si>
  <si>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</si>
  <si>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</si>
  <si>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</si>
  <si>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</si>
  <si>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</si>
  <si>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</si>
  <si>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</si>
  <si>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</si>
  <si>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</si>
  <si>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</si>
  <si>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</si>
  <si>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</si>
  <si>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</si>
  <si>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</si>
  <si>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</si>
  <si>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</si>
  <si>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</si>
  <si>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</si>
  <si>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</si>
  <si>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</si>
  <si>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</si>
  <si>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</si>
  <si>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</si>
  <si>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</si>
  <si>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</si>
  <si>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</si>
  <si>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</si>
  <si>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</si>
  <si>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</si>
  <si>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</si>
  <si>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</si>
  <si>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</si>
  <si>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</si>
  <si>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</si>
  <si>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</si>
  <si>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</si>
  <si>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</si>
  <si>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</si>
  <si>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</si>
  <si>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</si>
  <si>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</si>
  <si>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</si>
  <si>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</si>
  <si>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</si>
  <si>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</si>
  <si>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</si>
  <si>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</si>
  <si>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</si>
  <si>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</si>
  <si>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</si>
  <si>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</si>
  <si>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</si>
  <si>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</si>
  <si>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</si>
  <si>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</si>
  <si>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</si>
  <si>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</si>
  <si>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</si>
  <si>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</si>
  <si>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</si>
  <si>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</si>
  <si>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</si>
  <si>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</si>
  <si>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</si>
  <si>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</si>
  <si>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</si>
  <si>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</si>
  <si>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</si>
  <si>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</si>
  <si>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</si>
  <si>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</si>
  <si>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</si>
  <si>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</si>
  <si>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</si>
  <si>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</si>
  <si>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</si>
  <si>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</si>
  <si>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</si>
  <si>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</si>
  <si>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</si>
  <si>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</si>
  <si>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</si>
  <si>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</si>
  <si>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</si>
  <si>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</si>
  <si>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</si>
  <si>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</si>
  <si>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</si>
  <si>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</si>
  <si>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</si>
  <si>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</si>
  <si>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</si>
  <si>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</si>
  <si>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</si>
  <si>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</si>
  <si>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</si>
  <si>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</si>
  <si>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</si>
  <si>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</si>
  <si>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</si>
  <si>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</si>
  <si>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</si>
  <si>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</si>
  <si>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</si>
  <si>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</si>
  <si>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</si>
  <si>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</si>
  <si>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</si>
  <si>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</si>
  <si>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</si>
  <si>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</si>
  <si>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</si>
  <si>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</si>
  <si>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</si>
  <si>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</si>
  <si>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</si>
  <si>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</si>
  <si>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</si>
  <si>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</si>
  <si>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</si>
  <si>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</si>
  <si>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</si>
  <si>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</si>
  <si>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</si>
  <si>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</si>
  <si>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</si>
  <si>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</si>
  <si>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</si>
  <si>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</si>
  <si>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</si>
  <si>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</si>
  <si>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Ingen anlægsprojekter</t>
  </si>
  <si>
    <t>Afkobling af industrispildevand</t>
  </si>
  <si>
    <t>Screening af overløb</t>
  </si>
  <si>
    <t>Kærbyå</t>
  </si>
  <si>
    <t>Iso-certificering - Fælles</t>
  </si>
  <si>
    <t>Udvidelser</t>
  </si>
  <si>
    <t>Oprensning af bassiner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</si>
</sst>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102" t="s">
        <v>252</v>
      </c>
      <c r="E8" s="102"/>
      <c r="F8" s="102"/>
      <c r="G8" s="10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1" t="s">
        <v>5</v>
      </c>
      <c r="E11" s="101"/>
      <c r="F11" s="101"/>
      <c r="G11" s="101"/>
      <c r="H11" s="5"/>
      <c r="I11" s="1"/>
    </row>
    <row r="12" spans="1:9" x14ac:dyDescent="0.25">
      <c r="A12" s="1"/>
      <c r="B12" s="1"/>
      <c r="C12" s="1"/>
      <c r="D12" s="1"/>
      <c r="E12" s="1"/>
      <c r="F12" s="1"/>
      <c r="G12" s="1"/>
      <c r="H12" s="5"/>
      <c r="I12" s="1"/>
    </row>
    <row r="13" spans="1:9" x14ac:dyDescent="0.25">
      <c r="A13" s="1"/>
      <c r="B13" s="1"/>
      <c r="C13" s="6" t="s">
        <v>6</v>
      </c>
      <c r="D13" s="106" t="s">
        <v>196</v>
      </c>
      <c r="E13" s="107"/>
      <c r="F13" s="107"/>
      <c r="G13" s="108"/>
      <c r="H13" s="5"/>
      <c r="I13" s="1"/>
    </row>
    <row r="14" spans="1:9" x14ac:dyDescent="0.25">
      <c r="A14" s="1"/>
      <c r="B14" s="1"/>
      <c r="C14" s="6" t="s">
        <v>16</v>
      </c>
      <c r="D14" s="91" t="s">
        <v>197</v>
      </c>
      <c r="E14" s="92"/>
      <c r="F14" s="92"/>
      <c r="G14" s="93"/>
      <c r="H14" s="5"/>
      <c r="I14" s="1"/>
    </row>
    <row r="15" spans="1:9" x14ac:dyDescent="0.25">
      <c r="A15" s="1"/>
      <c r="B15" s="1"/>
      <c r="C15" s="6" t="s">
        <v>31</v>
      </c>
      <c r="D15" s="91" t="s">
        <v>262</v>
      </c>
      <c r="E15" s="92"/>
      <c r="F15" s="92"/>
      <c r="G15" s="93"/>
      <c r="H15" s="5"/>
      <c r="I15" s="1"/>
    </row>
    <row r="16" spans="1:9" x14ac:dyDescent="0.25">
      <c r="A16" s="1"/>
      <c r="B16" s="1"/>
      <c r="C16" s="6" t="s">
        <v>32</v>
      </c>
      <c r="D16" s="91" t="s">
        <v>263</v>
      </c>
      <c r="E16" s="92"/>
      <c r="F16" s="92"/>
      <c r="G16" s="93"/>
      <c r="H16" s="5"/>
      <c r="I16" s="1"/>
    </row>
    <row r="17" spans="1:9" x14ac:dyDescent="0.25">
      <c r="A17" s="1"/>
      <c r="B17" s="1"/>
      <c r="C17" s="6" t="s">
        <v>101</v>
      </c>
      <c r="D17" s="91" t="s">
        <v>198</v>
      </c>
      <c r="E17" s="92"/>
      <c r="F17" s="92"/>
      <c r="G17" s="93"/>
      <c r="H17" s="5"/>
      <c r="I17" s="1"/>
    </row>
    <row r="18" spans="1:9" x14ac:dyDescent="0.25">
      <c r="A18" s="1"/>
      <c r="B18" s="1"/>
      <c r="C18" s="6" t="s">
        <v>88</v>
      </c>
      <c r="D18" s="103" t="s">
        <v>79</v>
      </c>
      <c r="E18" s="104"/>
      <c r="F18" s="104"/>
      <c r="G18" s="105"/>
      <c r="H18" s="5"/>
      <c r="I18" s="1"/>
    </row>
    <row r="19" spans="1:9" x14ac:dyDescent="0.25">
      <c r="A19" s="1"/>
      <c r="B19" s="1"/>
      <c r="C19" s="6" t="s">
        <v>89</v>
      </c>
      <c r="D19" s="103" t="s">
        <v>80</v>
      </c>
      <c r="E19" s="104"/>
      <c r="F19" s="104"/>
      <c r="G19" s="105"/>
      <c r="H19" s="5"/>
      <c r="I19" s="1"/>
    </row>
    <row r="20" spans="1:9" x14ac:dyDescent="0.25">
      <c r="A20" s="1"/>
      <c r="B20" s="1"/>
      <c r="C20" s="6" t="s">
        <v>7</v>
      </c>
      <c r="D20" s="103" t="s">
        <v>10</v>
      </c>
      <c r="E20" s="104"/>
      <c r="F20" s="104"/>
      <c r="G20" s="105"/>
      <c r="H20" s="5"/>
      <c r="I20" s="1"/>
    </row>
    <row r="21" spans="1:9" x14ac:dyDescent="0.25">
      <c r="A21" s="1"/>
      <c r="B21" s="1"/>
      <c r="C21" s="6" t="s">
        <v>90</v>
      </c>
      <c r="D21" s="95" t="s">
        <v>12</v>
      </c>
      <c r="E21" s="96"/>
      <c r="F21" s="96"/>
      <c r="G21" s="97"/>
      <c r="H21" s="5"/>
      <c r="I21" s="1"/>
    </row>
    <row r="22" spans="1:9" x14ac:dyDescent="0.25">
      <c r="A22" s="1"/>
      <c r="B22" s="1"/>
      <c r="C22" s="6" t="s">
        <v>71</v>
      </c>
      <c r="D22" s="98" t="s">
        <v>199</v>
      </c>
      <c r="E22" s="99"/>
      <c r="F22" s="99"/>
      <c r="G22" s="100"/>
      <c r="H22" s="5"/>
      <c r="I22" s="1"/>
    </row>
    <row r="23" spans="1:9" x14ac:dyDescent="0.25">
      <c r="A23" s="1"/>
      <c r="B23" s="1"/>
      <c r="C23" s="6" t="s">
        <v>8</v>
      </c>
      <c r="D23" s="98" t="s">
        <v>181</v>
      </c>
      <c r="E23" s="99"/>
      <c r="F23" s="99"/>
      <c r="G23" s="100"/>
      <c r="H23" s="5"/>
      <c r="I23" s="1"/>
    </row>
    <row r="24" spans="1:9" x14ac:dyDescent="0.25">
      <c r="A24" s="1"/>
      <c r="B24" s="1"/>
      <c r="C24" s="6" t="s">
        <v>9</v>
      </c>
      <c r="D24" s="98" t="s">
        <v>200</v>
      </c>
      <c r="E24" s="99"/>
      <c r="F24" s="99"/>
      <c r="G24" s="100"/>
      <c r="H24" s="5"/>
      <c r="I24" s="1"/>
    </row>
    <row r="25" spans="1:9" x14ac:dyDescent="0.25">
      <c r="A25" s="1"/>
      <c r="B25" s="1"/>
      <c r="C25" s="6" t="s">
        <v>166</v>
      </c>
      <c r="D25" s="98" t="s">
        <v>160</v>
      </c>
      <c r="E25" s="99"/>
      <c r="F25" s="99"/>
      <c r="G25" s="100"/>
      <c r="H25" s="1"/>
      <c r="I25" s="1"/>
    </row>
    <row r="26" spans="1:9" x14ac:dyDescent="0.25">
      <c r="A26" s="1"/>
      <c r="B26" s="1"/>
      <c r="C26" s="6" t="s">
        <v>167</v>
      </c>
      <c r="D26" s="98" t="s">
        <v>72</v>
      </c>
      <c r="E26" s="99"/>
      <c r="F26" s="99"/>
      <c r="G26" s="100"/>
      <c r="H26" s="1"/>
      <c r="I26" s="1"/>
    </row>
    <row r="27" spans="1:9" x14ac:dyDescent="0.25">
      <c r="A27" s="1"/>
      <c r="B27" s="1"/>
      <c r="C27" s="6" t="s">
        <v>168</v>
      </c>
      <c r="D27" s="98" t="s">
        <v>73</v>
      </c>
      <c r="E27" s="99"/>
      <c r="F27" s="99"/>
      <c r="G27" s="100"/>
      <c r="H27" s="1"/>
      <c r="I27" s="1"/>
    </row>
    <row r="28" spans="1:9" x14ac:dyDescent="0.25">
      <c r="A28" s="1"/>
      <c r="B28" s="1"/>
      <c r="C28" s="6" t="s">
        <v>15</v>
      </c>
      <c r="D28" s="98" t="s">
        <v>74</v>
      </c>
      <c r="E28" s="99"/>
      <c r="F28" s="99"/>
      <c r="G28" s="100"/>
      <c r="H28" s="1"/>
      <c r="I28" s="1"/>
    </row>
    <row r="29" spans="1:9" x14ac:dyDescent="0.25">
      <c r="A29" s="1"/>
      <c r="B29" s="1"/>
      <c r="C29" s="6" t="s">
        <v>34</v>
      </c>
      <c r="D29" s="98" t="s">
        <v>114</v>
      </c>
      <c r="E29" s="99"/>
      <c r="F29" s="99"/>
      <c r="G29" s="100"/>
      <c r="H29" s="1"/>
      <c r="I29" s="1"/>
    </row>
    <row r="30" spans="1:9" x14ac:dyDescent="0.25">
      <c r="A30" s="1"/>
      <c r="B30" s="1"/>
      <c r="C30" s="6" t="s">
        <v>35</v>
      </c>
      <c r="D30" s="98" t="s">
        <v>33</v>
      </c>
      <c r="E30" s="99"/>
      <c r="F30" s="99"/>
      <c r="G30" s="100"/>
      <c r="H30" s="1"/>
      <c r="I30" s="1"/>
    </row>
    <row r="31" spans="1:9" x14ac:dyDescent="0.25">
      <c r="A31" s="1"/>
      <c r="B31" s="1"/>
      <c r="C31" s="6" t="s">
        <v>169</v>
      </c>
      <c r="D31" s="109" t="s">
        <v>87</v>
      </c>
      <c r="E31" s="110"/>
      <c r="F31" s="110"/>
      <c r="G31" s="11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QoMi0TwHTnNsoRNI9HxeAdQoD+1I5NOuqwK7O7R5F/OCkSbTiKA/jBNyVE15/9/Ey6M2vnrInTOTD5FkyKDM7Q==" saltValue="ASdfZYaodZaJjpTl/Uuzg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93</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9" t="s">
        <v>224</v>
      </c>
      <c r="C8" s="120"/>
      <c r="D8" s="121"/>
      <c r="E8" s="1"/>
      <c r="F8" s="1"/>
    </row>
    <row r="9" spans="1:6" ht="15" customHeight="1" x14ac:dyDescent="0.25">
      <c r="A9" s="1"/>
      <c r="B9" s="27" t="s">
        <v>29</v>
      </c>
      <c r="C9" s="50" t="s">
        <v>225</v>
      </c>
      <c r="D9" s="11"/>
      <c r="E9" s="1"/>
      <c r="F9" s="1"/>
    </row>
    <row r="10" spans="1:6" ht="15" customHeight="1" x14ac:dyDescent="0.25">
      <c r="A10" s="1"/>
      <c r="B10" s="83" t="s">
        <v>271</v>
      </c>
      <c r="C10" s="9">
        <v>92578</v>
      </c>
      <c r="D10" s="14" t="s">
        <v>3</v>
      </c>
      <c r="E10" s="1"/>
      <c r="F10" s="1"/>
    </row>
    <row r="11" spans="1:6" ht="26.25" x14ac:dyDescent="0.25">
      <c r="A11" s="1"/>
      <c r="B11" s="29" t="s">
        <v>272</v>
      </c>
      <c r="C11" s="9">
        <v>36844</v>
      </c>
      <c r="D11" s="14" t="s">
        <v>3</v>
      </c>
      <c r="E11" s="1"/>
      <c r="F11" s="1"/>
    </row>
    <row r="12" spans="1:6" x14ac:dyDescent="0.25">
      <c r="A12" s="1"/>
      <c r="B12" s="83" t="s">
        <v>273</v>
      </c>
      <c r="C12" s="9">
        <v>601584</v>
      </c>
      <c r="D12" s="14" t="s">
        <v>3</v>
      </c>
      <c r="E12" s="1"/>
      <c r="F12" s="1"/>
    </row>
    <row r="13" spans="1:6" x14ac:dyDescent="0.25">
      <c r="A13" s="1"/>
      <c r="B13" s="83"/>
      <c r="C13" s="9"/>
      <c r="D13" s="14" t="s">
        <v>3</v>
      </c>
      <c r="E13" s="1"/>
      <c r="F13" s="1"/>
    </row>
    <row r="14" spans="1:6" x14ac:dyDescent="0.25">
      <c r="A14" s="1"/>
      <c r="B14" s="83"/>
      <c r="C14" s="9"/>
      <c r="D14" s="14" t="s">
        <v>3</v>
      </c>
      <c r="E14" s="1"/>
      <c r="F14" s="1"/>
    </row>
    <row r="15" spans="1:6" x14ac:dyDescent="0.25">
      <c r="A15" s="1"/>
      <c r="B15" s="83"/>
      <c r="C15" s="9"/>
      <c r="D15" s="14" t="s">
        <v>3</v>
      </c>
      <c r="E15" s="1"/>
      <c r="F15" s="1"/>
    </row>
    <row r="16" spans="1:6" x14ac:dyDescent="0.25">
      <c r="A16" s="1"/>
      <c r="B16" s="83"/>
      <c r="C16" s="9"/>
      <c r="D16" s="14" t="s">
        <v>3</v>
      </c>
      <c r="E16" s="1"/>
      <c r="F16" s="1"/>
    </row>
    <row r="17" spans="1:6" x14ac:dyDescent="0.25">
      <c r="A17" s="1"/>
      <c r="B17" s="83"/>
      <c r="C17" s="9"/>
      <c r="D17" s="14" t="s">
        <v>3</v>
      </c>
      <c r="E17" s="1"/>
      <c r="F17" s="1"/>
    </row>
    <row r="18" spans="1:6" x14ac:dyDescent="0.25">
      <c r="A18" s="1"/>
      <c r="B18" s="83"/>
      <c r="C18" s="9"/>
      <c r="D18" s="14" t="s">
        <v>3</v>
      </c>
      <c r="E18" s="1"/>
      <c r="F18" s="1"/>
    </row>
    <row r="19" spans="1:6" x14ac:dyDescent="0.25">
      <c r="A19" s="1"/>
      <c r="B19" s="83"/>
      <c r="C19" s="9"/>
      <c r="D19" s="14" t="s">
        <v>3</v>
      </c>
      <c r="E19" s="1"/>
      <c r="F19" s="1"/>
    </row>
    <row r="20" spans="1:6" x14ac:dyDescent="0.25">
      <c r="A20" s="1"/>
      <c r="B20" s="33" t="s">
        <v>226</v>
      </c>
      <c r="C20" s="12">
        <f>SUM(C10:C19)</f>
        <v>731006</v>
      </c>
      <c r="D20" s="13" t="s">
        <v>3</v>
      </c>
      <c r="E20" s="1"/>
      <c r="F20" s="1"/>
    </row>
    <row r="21" spans="1:6" x14ac:dyDescent="0.25">
      <c r="A21" s="1"/>
      <c r="B21" s="33" t="s">
        <v>227</v>
      </c>
      <c r="C21" s="12">
        <f>C20*(1+'Fane 15. Nøgletal'!C16)^2</f>
        <v>853909.04461183993</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9" t="s">
        <v>99</v>
      </c>
      <c r="C24" s="120"/>
      <c r="D24" s="121"/>
      <c r="E24" s="1"/>
      <c r="F24" s="1"/>
    </row>
    <row r="25" spans="1:6" x14ac:dyDescent="0.25">
      <c r="A25" s="1"/>
      <c r="B25" s="83" t="s">
        <v>109</v>
      </c>
      <c r="C25" s="9">
        <v>0</v>
      </c>
      <c r="D25" s="14" t="s">
        <v>3</v>
      </c>
      <c r="E25" s="1"/>
      <c r="F25" s="1"/>
    </row>
    <row r="26" spans="1:6" x14ac:dyDescent="0.25">
      <c r="A26" s="1"/>
      <c r="B26" s="83" t="s">
        <v>123</v>
      </c>
      <c r="C26" s="9">
        <v>0</v>
      </c>
      <c r="D26" s="14" t="s">
        <v>3</v>
      </c>
      <c r="E26" s="1"/>
      <c r="F26" s="1"/>
    </row>
    <row r="27" spans="1:6" x14ac:dyDescent="0.25">
      <c r="A27" s="1"/>
      <c r="B27" s="83" t="s">
        <v>142</v>
      </c>
      <c r="C27" s="9">
        <v>0</v>
      </c>
      <c r="D27" s="14" t="s">
        <v>3</v>
      </c>
      <c r="E27" s="1"/>
      <c r="F27" s="1"/>
    </row>
    <row r="28" spans="1:6" x14ac:dyDescent="0.25">
      <c r="A28" s="1"/>
      <c r="B28" s="34" t="s">
        <v>261</v>
      </c>
      <c r="C28" s="9">
        <v>0</v>
      </c>
      <c r="D28" s="38" t="s">
        <v>3</v>
      </c>
      <c r="E28" s="1"/>
      <c r="F28" s="1"/>
    </row>
    <row r="29" spans="1:6" x14ac:dyDescent="0.25">
      <c r="A29" s="1"/>
      <c r="B29" s="119"/>
      <c r="C29" s="120"/>
      <c r="D29" s="121"/>
      <c r="E29" s="1"/>
      <c r="F29" s="1"/>
    </row>
    <row r="30" spans="1:6" x14ac:dyDescent="0.25">
      <c r="A30" s="1"/>
      <c r="B30" s="1"/>
      <c r="C30" s="1"/>
      <c r="D30" s="1"/>
      <c r="E30" s="1"/>
      <c r="F30" s="1"/>
    </row>
    <row r="31" spans="1:6" x14ac:dyDescent="0.25">
      <c r="A31" s="1"/>
      <c r="B31" s="1"/>
      <c r="C31" s="1"/>
      <c r="D31" s="1"/>
      <c r="E31" s="1"/>
      <c r="F31" s="1"/>
    </row>
    <row r="32" spans="1:6" x14ac:dyDescent="0.25">
      <c r="A32" s="1"/>
      <c r="B32" s="119" t="s">
        <v>81</v>
      </c>
      <c r="C32" s="120"/>
      <c r="D32" s="121"/>
      <c r="E32" s="1"/>
      <c r="F32" s="1"/>
    </row>
    <row r="33" spans="1:6" x14ac:dyDescent="0.25">
      <c r="A33" s="1"/>
      <c r="B33" s="83" t="s">
        <v>109</v>
      </c>
      <c r="C33" s="9">
        <v>0</v>
      </c>
      <c r="D33" s="14" t="s">
        <v>3</v>
      </c>
      <c r="E33" s="1"/>
      <c r="F33" s="1"/>
    </row>
    <row r="34" spans="1:6" x14ac:dyDescent="0.25">
      <c r="A34" s="1"/>
      <c r="B34" s="83" t="s">
        <v>123</v>
      </c>
      <c r="C34" s="9">
        <v>0</v>
      </c>
      <c r="D34" s="14" t="s">
        <v>3</v>
      </c>
      <c r="E34" s="1"/>
      <c r="F34" s="1"/>
    </row>
    <row r="35" spans="1:6" x14ac:dyDescent="0.25">
      <c r="A35" s="1"/>
      <c r="B35" s="83" t="s">
        <v>142</v>
      </c>
      <c r="C35" s="9">
        <v>0</v>
      </c>
      <c r="D35" s="14" t="s">
        <v>3</v>
      </c>
      <c r="E35" s="1"/>
      <c r="F35" s="1"/>
    </row>
    <row r="36" spans="1:6" x14ac:dyDescent="0.25">
      <c r="A36" s="1"/>
      <c r="B36" s="34" t="s">
        <v>261</v>
      </c>
      <c r="C36" s="9">
        <v>0</v>
      </c>
      <c r="D36" s="38" t="s">
        <v>3</v>
      </c>
      <c r="E36" s="1"/>
      <c r="F36" s="1"/>
    </row>
    <row r="37" spans="1:6" x14ac:dyDescent="0.25">
      <c r="A37" s="1"/>
      <c r="B37" s="119"/>
      <c r="C37" s="120"/>
      <c r="D37" s="12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iLAbgPT+BQWfEXsWdvUcW9u1EN83wAqSwi/png+QzjkzNMnidzlVRsjQzmCpAedQnQHgD/1pla4xsf6SW543Cg==" saltValue="6PhKKBFokVQhZRiLesW5K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4420-C817-4A1E-BFF0-A69A77F99A6D}">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206</v>
      </c>
      <c r="C3" s="115"/>
      <c r="D3" s="115"/>
      <c r="E3" s="115"/>
      <c r="F3" s="115"/>
      <c r="G3" s="1"/>
    </row>
    <row r="4" spans="1:7" ht="15" customHeight="1" x14ac:dyDescent="0.25">
      <c r="A4" s="1"/>
      <c r="B4" s="115"/>
      <c r="C4" s="115"/>
      <c r="D4" s="115"/>
      <c r="E4" s="115"/>
      <c r="F4" s="115"/>
      <c r="G4" s="1"/>
    </row>
    <row r="5" spans="1:7" ht="15" customHeight="1" x14ac:dyDescent="0.25">
      <c r="A5" s="1"/>
      <c r="B5" s="76"/>
      <c r="C5" s="76"/>
      <c r="D5" s="76"/>
      <c r="E5" s="76"/>
      <c r="F5" s="76"/>
      <c r="G5" s="1"/>
    </row>
    <row r="6" spans="1:7" ht="15" customHeight="1" x14ac:dyDescent="0.25">
      <c r="A6" s="1"/>
      <c r="B6" s="76"/>
      <c r="C6" s="76"/>
      <c r="D6" s="76"/>
      <c r="E6" s="76"/>
      <c r="F6" s="76"/>
      <c r="G6" s="1"/>
    </row>
    <row r="7" spans="1:7" ht="15" customHeight="1" x14ac:dyDescent="0.25">
      <c r="A7" s="1"/>
      <c r="B7" s="1"/>
      <c r="C7" s="1"/>
      <c r="D7" s="1"/>
      <c r="E7" s="1"/>
      <c r="F7" s="1"/>
      <c r="G7" s="1"/>
    </row>
    <row r="8" spans="1:7" ht="15" customHeight="1" x14ac:dyDescent="0.25">
      <c r="A8" s="1"/>
      <c r="B8" s="119" t="s">
        <v>137</v>
      </c>
      <c r="C8" s="120"/>
      <c r="D8" s="120"/>
      <c r="E8" s="120"/>
      <c r="F8" s="121"/>
      <c r="G8" s="1"/>
    </row>
    <row r="9" spans="1:7" ht="15" customHeight="1" x14ac:dyDescent="0.25">
      <c r="A9" s="1"/>
      <c r="B9" s="122" t="s">
        <v>274</v>
      </c>
      <c r="C9" s="123"/>
      <c r="D9" s="124"/>
      <c r="E9" s="9">
        <v>5361913</v>
      </c>
      <c r="F9" s="14" t="s">
        <v>3</v>
      </c>
      <c r="G9" s="1"/>
    </row>
    <row r="10" spans="1:7" ht="15" customHeight="1" x14ac:dyDescent="0.25">
      <c r="A10" s="1"/>
      <c r="B10" s="122" t="s">
        <v>143</v>
      </c>
      <c r="C10" s="123"/>
      <c r="D10" s="124"/>
      <c r="E10" s="9">
        <v>2698569</v>
      </c>
      <c r="F10" s="14" t="s">
        <v>3</v>
      </c>
      <c r="G10" s="1"/>
    </row>
    <row r="11" spans="1:7" ht="15" customHeight="1" x14ac:dyDescent="0.25">
      <c r="A11" s="1"/>
      <c r="B11" s="122" t="s">
        <v>275</v>
      </c>
      <c r="C11" s="123"/>
      <c r="D11" s="124"/>
      <c r="E11" s="9">
        <v>2501493</v>
      </c>
      <c r="F11" s="14" t="s">
        <v>3</v>
      </c>
      <c r="G11" s="1"/>
    </row>
    <row r="12" spans="1:7" x14ac:dyDescent="0.25">
      <c r="A12" s="1"/>
      <c r="B12" s="33"/>
      <c r="C12" s="28"/>
      <c r="D12" s="28"/>
      <c r="E12" s="28"/>
      <c r="F12" s="19"/>
      <c r="G12" s="1"/>
    </row>
    <row r="13" spans="1:7" ht="42" customHeight="1" x14ac:dyDescent="0.25">
      <c r="A13" s="1"/>
      <c r="B13" s="116" t="s">
        <v>276</v>
      </c>
      <c r="C13" s="117"/>
      <c r="D13" s="117"/>
      <c r="E13" s="117"/>
      <c r="F13" s="118"/>
      <c r="G13" s="1"/>
    </row>
    <row r="14" spans="1:7" ht="15" customHeight="1" x14ac:dyDescent="0.25">
      <c r="A14" s="1"/>
      <c r="B14" s="1"/>
      <c r="C14" s="1"/>
      <c r="D14" s="1"/>
      <c r="E14" s="1"/>
      <c r="F14" s="1"/>
      <c r="G14" s="1"/>
    </row>
    <row r="15" spans="1:7" x14ac:dyDescent="0.25">
      <c r="A15" s="1"/>
      <c r="B15" s="77" t="s">
        <v>277</v>
      </c>
      <c r="C15" s="78"/>
      <c r="D15" s="78"/>
      <c r="E15" s="78"/>
      <c r="F15" s="79"/>
      <c r="G15" s="1"/>
    </row>
    <row r="16" spans="1:7" x14ac:dyDescent="0.25">
      <c r="A16" s="1"/>
      <c r="B16" s="80" t="s">
        <v>278</v>
      </c>
      <c r="C16" s="81"/>
      <c r="D16" s="82"/>
      <c r="E16" s="9">
        <f>IF(E11&lt;0,E11,0)</f>
        <v>0</v>
      </c>
      <c r="F16" s="14" t="s">
        <v>3</v>
      </c>
      <c r="G16" s="1"/>
    </row>
    <row r="17" spans="1:7" x14ac:dyDescent="0.25">
      <c r="A17" s="1"/>
      <c r="B17" s="80" t="s">
        <v>279</v>
      </c>
      <c r="C17" s="81"/>
      <c r="D17" s="82"/>
      <c r="E17" s="9">
        <f>IF(SUM(E10)&gt;0,SUM(E10),0)</f>
        <v>2698569</v>
      </c>
      <c r="F17" s="14" t="s">
        <v>3</v>
      </c>
      <c r="G17" s="1"/>
    </row>
    <row r="18" spans="1:7" x14ac:dyDescent="0.25">
      <c r="A18" s="1"/>
      <c r="B18" s="84" t="s">
        <v>280</v>
      </c>
      <c r="C18" s="85"/>
      <c r="D18" s="86"/>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7" t="s">
        <v>281</v>
      </c>
      <c r="C21" s="78"/>
      <c r="D21" s="78"/>
      <c r="E21" s="78"/>
      <c r="F21" s="79"/>
      <c r="G21" s="1"/>
    </row>
    <row r="22" spans="1:7" x14ac:dyDescent="0.25">
      <c r="A22" s="1"/>
      <c r="B22" s="80" t="s">
        <v>282</v>
      </c>
      <c r="C22" s="81"/>
      <c r="D22" s="82"/>
      <c r="E22" s="9">
        <v>68028289.837453946</v>
      </c>
      <c r="F22" s="14" t="s">
        <v>3</v>
      </c>
      <c r="G22" s="1"/>
    </row>
    <row r="23" spans="1:7" x14ac:dyDescent="0.25">
      <c r="A23" s="1"/>
      <c r="B23" s="80" t="s">
        <v>283</v>
      </c>
      <c r="C23" s="81"/>
      <c r="D23" s="82"/>
      <c r="E23" s="9">
        <v>64242497</v>
      </c>
      <c r="F23" s="14" t="s">
        <v>3</v>
      </c>
      <c r="G23" s="1"/>
    </row>
    <row r="24" spans="1:7" x14ac:dyDescent="0.25">
      <c r="A24" s="1"/>
      <c r="B24" s="80" t="s">
        <v>30</v>
      </c>
      <c r="C24" s="81"/>
      <c r="D24" s="82"/>
      <c r="E24" s="9">
        <v>0</v>
      </c>
      <c r="F24" s="14" t="s">
        <v>3</v>
      </c>
      <c r="G24" s="1"/>
    </row>
    <row r="25" spans="1:7" x14ac:dyDescent="0.25">
      <c r="A25" s="1"/>
      <c r="B25" s="84" t="s">
        <v>284</v>
      </c>
      <c r="C25" s="85"/>
      <c r="D25" s="86"/>
      <c r="E25" s="62">
        <f>E22-E23-E24</f>
        <v>3785792.8374539465</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9" t="s">
        <v>285</v>
      </c>
      <c r="C28" s="120"/>
      <c r="D28" s="120"/>
      <c r="E28" s="120"/>
      <c r="F28" s="121"/>
      <c r="G28" s="1"/>
    </row>
    <row r="29" spans="1:7" x14ac:dyDescent="0.25">
      <c r="A29" s="1"/>
      <c r="B29" s="134" t="s">
        <v>116</v>
      </c>
      <c r="C29" s="135"/>
      <c r="D29" s="136"/>
      <c r="E29" s="9">
        <f>IF(E18&lt;0,IF(E25&lt;0,SUM(E18,E25),IF(E10&gt;0,SUM(E10:E11),E18)),IF(AND(E25&lt;0,SUM(E25,E11)&lt;0),IF(E11&lt;0,E25,IF(SUM(E10:E11)&gt;0,SUM(E25,E11),IF(AND(E25&lt;0,E18=0,E11&gt;0),IF(SUM(E9:E11)&gt;0,E25+E11,E25)))),0))</f>
        <v>0</v>
      </c>
      <c r="F29" s="14" t="s">
        <v>3</v>
      </c>
      <c r="G29" s="1"/>
    </row>
    <row r="30" spans="1:7" x14ac:dyDescent="0.25">
      <c r="A30" s="1"/>
      <c r="B30" s="134" t="s">
        <v>84</v>
      </c>
      <c r="C30" s="135"/>
      <c r="D30" s="136"/>
      <c r="E30" s="9">
        <v>2</v>
      </c>
      <c r="F30" s="14" t="s">
        <v>20</v>
      </c>
      <c r="G30" s="1"/>
    </row>
    <row r="31" spans="1:7" x14ac:dyDescent="0.25">
      <c r="A31" s="1"/>
      <c r="B31" s="137" t="s">
        <v>117</v>
      </c>
      <c r="C31" s="138"/>
      <c r="D31" s="139"/>
      <c r="E31" s="10">
        <f>E29/E30</f>
        <v>0</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nnx98VVavYvkFve1MqB/J2V3lP7bUq5vD2cxDopWSlT9uYFwBTglDctvVqBhW3OiJRz8q0TNIENqOmT73PZCVw==" saltValue="Q3SOd5X3WQRzJHavL7KAy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170</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9" t="s">
        <v>189</v>
      </c>
      <c r="C8" s="120"/>
      <c r="D8" s="120"/>
      <c r="E8" s="120"/>
      <c r="F8" s="120"/>
      <c r="G8" s="120"/>
      <c r="H8" s="121"/>
      <c r="I8" s="1"/>
    </row>
    <row r="9" spans="1:9" ht="15" customHeight="1" x14ac:dyDescent="0.25">
      <c r="A9" s="1"/>
      <c r="B9" s="146" t="s">
        <v>171</v>
      </c>
      <c r="C9" s="147"/>
      <c r="D9" s="147"/>
      <c r="E9" s="147"/>
      <c r="F9" s="147"/>
      <c r="G9" s="147"/>
      <c r="H9" s="148"/>
      <c r="I9" s="1"/>
    </row>
    <row r="10" spans="1:9" x14ac:dyDescent="0.25">
      <c r="A10" s="1"/>
      <c r="B10" s="143" t="s">
        <v>172</v>
      </c>
      <c r="C10" s="144"/>
      <c r="D10" s="144"/>
      <c r="E10" s="144"/>
      <c r="F10" s="145"/>
      <c r="G10" s="9">
        <v>0</v>
      </c>
      <c r="H10" s="9" t="s">
        <v>3</v>
      </c>
      <c r="I10" s="1"/>
    </row>
    <row r="11" spans="1:9" x14ac:dyDescent="0.25">
      <c r="A11" s="1"/>
      <c r="B11" s="143" t="s">
        <v>173</v>
      </c>
      <c r="C11" s="144"/>
      <c r="D11" s="144"/>
      <c r="E11" s="144"/>
      <c r="F11" s="145"/>
      <c r="G11" s="9">
        <v>0</v>
      </c>
      <c r="H11" s="9" t="s">
        <v>3</v>
      </c>
      <c r="I11" s="1"/>
    </row>
    <row r="12" spans="1:9" x14ac:dyDescent="0.25">
      <c r="A12" s="1"/>
      <c r="B12" s="143" t="s">
        <v>174</v>
      </c>
      <c r="C12" s="144"/>
      <c r="D12" s="144"/>
      <c r="E12" s="144"/>
      <c r="F12" s="145"/>
      <c r="G12" s="9">
        <v>0</v>
      </c>
      <c r="H12" s="9" t="s">
        <v>3</v>
      </c>
      <c r="I12" s="1"/>
    </row>
    <row r="13" spans="1:9" x14ac:dyDescent="0.25">
      <c r="A13" s="1"/>
      <c r="B13" s="143" t="s">
        <v>175</v>
      </c>
      <c r="C13" s="144"/>
      <c r="D13" s="144"/>
      <c r="E13" s="144"/>
      <c r="F13" s="145"/>
      <c r="G13" s="9">
        <v>0</v>
      </c>
      <c r="H13" s="9" t="s">
        <v>3</v>
      </c>
      <c r="I13" s="1"/>
    </row>
    <row r="14" spans="1:9" x14ac:dyDescent="0.25">
      <c r="A14" s="1"/>
      <c r="B14" s="143" t="s">
        <v>176</v>
      </c>
      <c r="C14" s="144"/>
      <c r="D14" s="144"/>
      <c r="E14" s="144"/>
      <c r="F14" s="145"/>
      <c r="G14" s="9">
        <v>0</v>
      </c>
      <c r="H14" s="9" t="s">
        <v>3</v>
      </c>
      <c r="I14" s="1"/>
    </row>
    <row r="15" spans="1:9" x14ac:dyDescent="0.25">
      <c r="A15" s="1"/>
      <c r="B15" s="143" t="s">
        <v>177</v>
      </c>
      <c r="C15" s="144"/>
      <c r="D15" s="144"/>
      <c r="E15" s="144"/>
      <c r="F15" s="145"/>
      <c r="G15" s="9">
        <v>0</v>
      </c>
      <c r="H15" s="9" t="s">
        <v>3</v>
      </c>
      <c r="I15" s="1"/>
    </row>
    <row r="16" spans="1:9" x14ac:dyDescent="0.25">
      <c r="A16" s="1"/>
      <c r="B16" s="143" t="s">
        <v>178</v>
      </c>
      <c r="C16" s="144"/>
      <c r="D16" s="144"/>
      <c r="E16" s="144"/>
      <c r="F16" s="145"/>
      <c r="G16" s="9">
        <v>0</v>
      </c>
      <c r="H16" s="9" t="s">
        <v>3</v>
      </c>
      <c r="I16" s="1"/>
    </row>
    <row r="17" spans="1:9" x14ac:dyDescent="0.25">
      <c r="A17" s="1"/>
      <c r="B17" s="143" t="s">
        <v>179</v>
      </c>
      <c r="C17" s="144"/>
      <c r="D17" s="144"/>
      <c r="E17" s="144"/>
      <c r="F17" s="145"/>
      <c r="G17" s="9">
        <v>0</v>
      </c>
      <c r="H17" s="9" t="s">
        <v>3</v>
      </c>
      <c r="I17" s="1"/>
    </row>
    <row r="18" spans="1:9" x14ac:dyDescent="0.25">
      <c r="A18" s="1"/>
      <c r="B18" s="119" t="s">
        <v>180</v>
      </c>
      <c r="C18" s="120"/>
      <c r="D18" s="120"/>
      <c r="E18" s="120"/>
      <c r="F18" s="121"/>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EJ3oNlDs1a3epXItgiLvrEQDz96PlurMqjmErPyDx2PwDx9LxXWSJHOwogudYWqtpXUMurBPaglrydOCwHqBSg==" saltValue="oE4etGdoHxA9mo6366VNZ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228</v>
      </c>
      <c r="C9" s="120"/>
      <c r="D9" s="120"/>
      <c r="E9" s="120"/>
      <c r="F9" s="121"/>
      <c r="G9" s="1"/>
    </row>
    <row r="10" spans="1:7" x14ac:dyDescent="0.25">
      <c r="A10" s="1"/>
      <c r="B10" s="116" t="s">
        <v>82</v>
      </c>
      <c r="C10" s="117"/>
      <c r="D10" s="118"/>
      <c r="E10" s="7">
        <v>0</v>
      </c>
      <c r="F10" s="8" t="s">
        <v>3</v>
      </c>
      <c r="G10" s="1"/>
    </row>
    <row r="11" spans="1:7" x14ac:dyDescent="0.25">
      <c r="A11" s="1"/>
      <c r="B11" s="122" t="s">
        <v>229</v>
      </c>
      <c r="C11" s="123"/>
      <c r="D11" s="124"/>
      <c r="E11" s="7">
        <v>0</v>
      </c>
      <c r="F11" s="8" t="s">
        <v>3</v>
      </c>
      <c r="G11" s="1"/>
    </row>
    <row r="12" spans="1:7" x14ac:dyDescent="0.25">
      <c r="A12" s="1"/>
      <c r="B12" s="137" t="s">
        <v>83</v>
      </c>
      <c r="C12" s="138"/>
      <c r="D12" s="139"/>
      <c r="E12" s="10">
        <f>E11-E10</f>
        <v>0</v>
      </c>
      <c r="F12" s="11" t="s">
        <v>3</v>
      </c>
      <c r="G12" s="1"/>
    </row>
    <row r="13" spans="1:7" x14ac:dyDescent="0.25">
      <c r="A13" s="1"/>
      <c r="B13" s="119" t="s">
        <v>78</v>
      </c>
      <c r="C13" s="120"/>
      <c r="D13" s="120"/>
      <c r="E13" s="120"/>
      <c r="F13" s="121"/>
      <c r="G13" s="1"/>
    </row>
    <row r="14" spans="1:7" x14ac:dyDescent="0.25">
      <c r="A14" s="1"/>
      <c r="B14" s="122" t="s">
        <v>230</v>
      </c>
      <c r="C14" s="123"/>
      <c r="D14" s="124"/>
      <c r="E14" s="7">
        <v>0</v>
      </c>
      <c r="F14" s="8" t="s">
        <v>3</v>
      </c>
      <c r="G14" s="1"/>
    </row>
    <row r="15" spans="1:7" x14ac:dyDescent="0.25">
      <c r="A15" s="1"/>
      <c r="B15" s="116" t="s">
        <v>231</v>
      </c>
      <c r="C15" s="117"/>
      <c r="D15" s="118"/>
      <c r="E15" s="7">
        <v>0</v>
      </c>
      <c r="F15" s="8" t="s">
        <v>3</v>
      </c>
      <c r="G15" s="1"/>
    </row>
    <row r="16" spans="1:7" x14ac:dyDescent="0.25">
      <c r="A16" s="1"/>
      <c r="B16" s="137" t="s">
        <v>83</v>
      </c>
      <c r="C16" s="138"/>
      <c r="D16" s="139"/>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8nBISkLA42Vo2Y2BrrtqZL103As9EDoX84mxghaJAPxA/NDnxvumDkTrw8hwsN0VoiPdnS3NZDpr5etKG9dyQ==" saltValue="dkyitcct+3Rz8damGk2O9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9" t="s">
        <v>149</v>
      </c>
      <c r="C8" s="120"/>
      <c r="D8" s="120"/>
      <c r="E8" s="120"/>
      <c r="F8" s="120"/>
      <c r="G8" s="120"/>
      <c r="H8" s="120"/>
      <c r="I8" s="120"/>
      <c r="J8" s="120"/>
      <c r="K8" s="121"/>
      <c r="L8" s="1"/>
    </row>
    <row r="9" spans="1:12" ht="39.75" customHeight="1" x14ac:dyDescent="0.25">
      <c r="A9" s="1"/>
      <c r="B9" s="18" t="s">
        <v>0</v>
      </c>
      <c r="C9" s="18" t="s">
        <v>1</v>
      </c>
      <c r="D9" s="149" t="s">
        <v>165</v>
      </c>
      <c r="E9" s="150"/>
      <c r="F9" s="149" t="s">
        <v>2</v>
      </c>
      <c r="G9" s="150"/>
      <c r="H9" s="149" t="s">
        <v>164</v>
      </c>
      <c r="I9" s="150"/>
      <c r="J9" s="149" t="s">
        <v>27</v>
      </c>
      <c r="K9" s="150"/>
      <c r="L9" s="1"/>
    </row>
    <row r="10" spans="1:12" x14ac:dyDescent="0.25">
      <c r="A10" s="1"/>
      <c r="B10" s="87" t="s">
        <v>286</v>
      </c>
      <c r="C10" s="45"/>
      <c r="D10" s="9"/>
      <c r="E10" s="14" t="s">
        <v>3</v>
      </c>
      <c r="F10" s="9">
        <f>IFERROR(D10/C10,0)</f>
        <v>0</v>
      </c>
      <c r="G10" s="14" t="s">
        <v>3</v>
      </c>
      <c r="H10" s="41"/>
      <c r="I10" s="14" t="s">
        <v>3</v>
      </c>
      <c r="J10" s="41"/>
      <c r="K10" s="14" t="s">
        <v>3</v>
      </c>
      <c r="L10" s="1"/>
    </row>
    <row r="11" spans="1:12" x14ac:dyDescent="0.25">
      <c r="A11" s="1"/>
      <c r="B11" s="77" t="s">
        <v>150</v>
      </c>
      <c r="C11" s="78"/>
      <c r="D11" s="79"/>
      <c r="E11" s="79"/>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iISr+8/nNci7lXIILHeKTWXQ9z2Z6+KbP9CYl0maGnV2CLRT57SxHGVkz64S45BdKgaLyMa8Z1EYqsl7XcV8Ag==" saltValue="citE1NisiVroCKY2laVoq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8" t="s">
        <v>17</v>
      </c>
      <c r="C9" s="88" t="s">
        <v>11</v>
      </c>
      <c r="D9" s="89"/>
      <c r="E9" s="88"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232326</v>
      </c>
      <c r="F11" s="14" t="s">
        <v>3</v>
      </c>
      <c r="G11" s="1"/>
    </row>
    <row r="12" spans="1:7" x14ac:dyDescent="0.25">
      <c r="A12" s="1"/>
      <c r="B12" s="24" t="s">
        <v>288</v>
      </c>
      <c r="C12" s="21">
        <v>0</v>
      </c>
      <c r="D12" s="14" t="s">
        <v>3</v>
      </c>
      <c r="E12" s="9">
        <v>25540</v>
      </c>
      <c r="F12" s="14" t="s">
        <v>3</v>
      </c>
      <c r="G12" s="1"/>
    </row>
    <row r="13" spans="1:7" x14ac:dyDescent="0.25">
      <c r="A13" s="1"/>
      <c r="B13" s="24" t="s">
        <v>290</v>
      </c>
      <c r="C13" s="21">
        <v>13276</v>
      </c>
      <c r="D13" s="14" t="s">
        <v>3</v>
      </c>
      <c r="E13" s="9"/>
      <c r="F13" s="14" t="s">
        <v>3</v>
      </c>
      <c r="G13" s="1"/>
    </row>
    <row r="14" spans="1:7" x14ac:dyDescent="0.25">
      <c r="A14" s="1"/>
      <c r="B14" s="24" t="s">
        <v>291</v>
      </c>
      <c r="C14" s="21"/>
      <c r="D14" s="14" t="s">
        <v>3</v>
      </c>
      <c r="E14" s="9">
        <v>527201</v>
      </c>
      <c r="F14" s="14" t="s">
        <v>3</v>
      </c>
      <c r="G14" s="1"/>
    </row>
    <row r="15" spans="1:7" x14ac:dyDescent="0.25">
      <c r="A15" s="1"/>
      <c r="B15" s="24" t="s">
        <v>292</v>
      </c>
      <c r="C15" s="21">
        <v>197026</v>
      </c>
      <c r="D15" s="14" t="s">
        <v>3</v>
      </c>
      <c r="E15" s="9">
        <v>0</v>
      </c>
      <c r="F15" s="14" t="s">
        <v>3</v>
      </c>
      <c r="G15" s="1"/>
    </row>
    <row r="16" spans="1:7" x14ac:dyDescent="0.25">
      <c r="A16" s="1"/>
      <c r="B16" s="24" t="s">
        <v>290</v>
      </c>
      <c r="C16" s="21">
        <v>1200126</v>
      </c>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1410428</v>
      </c>
      <c r="D19" s="13" t="s">
        <v>3</v>
      </c>
      <c r="E19" s="12">
        <f>SUM(E10:E18)</f>
        <v>785067</v>
      </c>
      <c r="F19" s="13" t="s">
        <v>3</v>
      </c>
      <c r="G19" s="1"/>
    </row>
    <row r="20" spans="1:7" x14ac:dyDescent="0.25">
      <c r="A20" s="1"/>
      <c r="B20" s="33" t="s">
        <v>233</v>
      </c>
      <c r="C20" s="12">
        <f>C19*(1+'Fane 15. Nøgletal'!C16)</f>
        <v>1524390.5824</v>
      </c>
      <c r="D20" s="13" t="s">
        <v>3</v>
      </c>
      <c r="E20" s="12">
        <f>E19*(1+'Fane 15. Nøgletal'!C16)</f>
        <v>848500.41359999997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ViNYGL5ZMCWGW1XPNrKW+eR+Cj6QD9zicsuS0gUms60AKh165Z7zUb45xdrBaEdoSVGOkKN0TFrk1CrX50Dog==" saltValue="U8REhqyHUwRkuEsgvb12K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260</v>
      </c>
      <c r="C8" s="120"/>
      <c r="D8" s="120"/>
      <c r="E8" s="120"/>
      <c r="F8" s="121"/>
      <c r="G8" s="1"/>
    </row>
    <row r="9" spans="1:7" x14ac:dyDescent="0.25">
      <c r="A9" s="1"/>
      <c r="B9" s="88" t="s">
        <v>17</v>
      </c>
      <c r="C9" s="88" t="s">
        <v>11</v>
      </c>
      <c r="D9" s="89"/>
      <c r="E9" s="88" t="s">
        <v>28</v>
      </c>
      <c r="F9" s="32"/>
      <c r="G9" s="1"/>
    </row>
    <row r="10" spans="1:7" x14ac:dyDescent="0.25">
      <c r="A10" s="1"/>
      <c r="B10" s="24" t="s">
        <v>289</v>
      </c>
      <c r="C10" s="21">
        <v>682991</v>
      </c>
      <c r="D10" s="14" t="s">
        <v>3</v>
      </c>
      <c r="E10" s="9">
        <v>0</v>
      </c>
      <c r="F10" s="14" t="s">
        <v>3</v>
      </c>
      <c r="G10" s="1"/>
    </row>
    <row r="11" spans="1:7" x14ac:dyDescent="0.25">
      <c r="A11" s="1"/>
      <c r="B11" s="24" t="s">
        <v>292</v>
      </c>
      <c r="C11" s="21">
        <v>1970263</v>
      </c>
      <c r="D11" s="14" t="s">
        <v>3</v>
      </c>
      <c r="E11" s="9">
        <v>0</v>
      </c>
      <c r="F11" s="14" t="s">
        <v>3</v>
      </c>
      <c r="G11" s="1"/>
    </row>
    <row r="12" spans="1:7" x14ac:dyDescent="0.25">
      <c r="A12" s="1"/>
      <c r="B12" s="24"/>
      <c r="C12" s="21"/>
      <c r="D12" s="14" t="s">
        <v>3</v>
      </c>
      <c r="E12" s="9"/>
      <c r="F12" s="14" t="s">
        <v>3</v>
      </c>
      <c r="G12" s="1"/>
    </row>
    <row r="13" spans="1:7" x14ac:dyDescent="0.25">
      <c r="A13" s="1"/>
      <c r="B13" s="33" t="s">
        <v>234</v>
      </c>
      <c r="C13" s="12">
        <f>SUM(C10:C12)</f>
        <v>2653254</v>
      </c>
      <c r="D13" s="13" t="s">
        <v>3</v>
      </c>
      <c r="E13" s="12">
        <f>SUM(E10:E12)</f>
        <v>0</v>
      </c>
      <c r="F13" s="13" t="s">
        <v>3</v>
      </c>
      <c r="G13" s="1"/>
    </row>
    <row r="14" spans="1:7" x14ac:dyDescent="0.25">
      <c r="A14" s="1"/>
      <c r="B14" s="33" t="s">
        <v>235</v>
      </c>
      <c r="C14" s="12">
        <f>C13*(1+'Fane 15. Nøgletal'!C16)^2</f>
        <v>3099341.9865945596</v>
      </c>
      <c r="D14" s="13" t="s">
        <v>3</v>
      </c>
      <c r="E14" s="12">
        <f>E13*(1+'Fane 15. Nøgletal'!C16)^2</f>
        <v>0</v>
      </c>
      <c r="F14" s="13" t="s">
        <v>3</v>
      </c>
      <c r="G14" s="1"/>
    </row>
    <row r="15" spans="1:7" x14ac:dyDescent="0.25">
      <c r="A15" s="1"/>
      <c r="B15" s="1"/>
      <c r="C15" s="1"/>
      <c r="D15" s="1"/>
      <c r="E15" s="1"/>
      <c r="F15" s="1"/>
      <c r="G15" s="1"/>
    </row>
    <row r="16" spans="1:7" x14ac:dyDescent="0.25">
      <c r="A16" s="1"/>
      <c r="B16" s="151"/>
      <c r="C16" s="151"/>
      <c r="D16" s="151"/>
      <c r="E16" s="151"/>
      <c r="F16" s="151"/>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1"/>
      <c r="C23" s="151"/>
      <c r="D23" s="151"/>
      <c r="E23" s="151"/>
      <c r="F23" s="151"/>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1"/>
      <c r="C30" s="151"/>
      <c r="D30" s="151"/>
      <c r="E30" s="151"/>
      <c r="F30" s="151"/>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iGcNYfJCtZtGHKeHMrwxzBh2DY0fYba32j8rEKx2ZK3oyEMXcTmWZXY4xE9sX+oeAArFYhYYtSOPzEYlOyUag==" saltValue="xj5LzHpE8RamHGjpkuR+I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185</v>
      </c>
      <c r="C3" s="115"/>
      <c r="D3" s="115"/>
      <c r="E3" s="115"/>
      <c r="F3" s="115"/>
      <c r="G3" s="1"/>
    </row>
    <row r="4" spans="1:7" ht="15" customHeight="1" x14ac:dyDescent="0.25">
      <c r="A4" s="1"/>
      <c r="B4" s="115"/>
      <c r="C4" s="115"/>
      <c r="D4" s="115"/>
      <c r="E4" s="115"/>
      <c r="F4" s="115"/>
      <c r="G4" s="1"/>
    </row>
    <row r="5" spans="1:7" x14ac:dyDescent="0.25">
      <c r="A5" s="1"/>
      <c r="B5" s="115"/>
      <c r="C5" s="115"/>
      <c r="D5" s="115"/>
      <c r="E5" s="115"/>
      <c r="F5" s="11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9" t="s">
        <v>110</v>
      </c>
      <c r="C9" s="120"/>
      <c r="D9" s="120"/>
      <c r="E9" s="120"/>
      <c r="F9" s="121"/>
      <c r="G9" s="1"/>
    </row>
    <row r="10" spans="1:7" x14ac:dyDescent="0.25">
      <c r="A10" s="1"/>
      <c r="B10" s="143" t="s">
        <v>236</v>
      </c>
      <c r="C10" s="144"/>
      <c r="D10" s="145"/>
      <c r="E10" s="9">
        <v>0</v>
      </c>
      <c r="F10" s="14" t="s">
        <v>3</v>
      </c>
      <c r="G10" s="1"/>
    </row>
    <row r="11" spans="1:7" x14ac:dyDescent="0.25">
      <c r="A11" s="1"/>
      <c r="B11" s="152" t="s">
        <v>10</v>
      </c>
      <c r="C11" s="153"/>
      <c r="D11" s="154"/>
      <c r="E11" s="9">
        <f>-E10*'Fane 5. Individuelt eff. krav'!G9</f>
        <v>0</v>
      </c>
      <c r="F11" s="14" t="s">
        <v>3</v>
      </c>
      <c r="G11" s="1"/>
    </row>
    <row r="12" spans="1:7" x14ac:dyDescent="0.25">
      <c r="A12" s="1"/>
      <c r="B12" s="152" t="s">
        <v>23</v>
      </c>
      <c r="C12" s="153"/>
      <c r="D12" s="154"/>
      <c r="E12" s="9">
        <f>-E10*'Fane 15. Nøgletal'!C33</f>
        <v>0</v>
      </c>
      <c r="F12" s="14" t="s">
        <v>3</v>
      </c>
      <c r="G12" s="1"/>
    </row>
    <row r="13" spans="1:7" x14ac:dyDescent="0.25">
      <c r="A13" s="1"/>
      <c r="B13" s="119" t="s">
        <v>111</v>
      </c>
      <c r="C13" s="120"/>
      <c r="D13" s="121"/>
      <c r="E13" s="12">
        <f>SUM(E10:E12)*(1+'Fane 15. Nøgletal'!C16)^2</f>
        <v>0</v>
      </c>
      <c r="F13" s="13" t="s">
        <v>3</v>
      </c>
      <c r="G13" s="1"/>
    </row>
    <row r="14" spans="1:7" x14ac:dyDescent="0.25">
      <c r="A14" s="1"/>
      <c r="B14" s="1"/>
      <c r="C14" s="1"/>
      <c r="D14" s="1"/>
      <c r="E14" s="1"/>
      <c r="F14" s="1"/>
      <c r="G14" s="1"/>
    </row>
    <row r="15" spans="1:7" ht="15" customHeight="1" x14ac:dyDescent="0.25">
      <c r="A15" s="1"/>
      <c r="B15" s="119" t="s">
        <v>124</v>
      </c>
      <c r="C15" s="120"/>
      <c r="D15" s="120"/>
      <c r="E15" s="120"/>
      <c r="F15" s="121"/>
      <c r="G15" s="1"/>
    </row>
    <row r="16" spans="1:7" x14ac:dyDescent="0.25">
      <c r="A16" s="1"/>
      <c r="B16" s="143" t="s">
        <v>236</v>
      </c>
      <c r="C16" s="144"/>
      <c r="D16" s="145"/>
      <c r="E16" s="9">
        <v>0</v>
      </c>
      <c r="F16" s="14" t="s">
        <v>3</v>
      </c>
      <c r="G16" s="1"/>
    </row>
    <row r="17" spans="1:7" x14ac:dyDescent="0.25">
      <c r="A17" s="1"/>
      <c r="B17" s="152" t="s">
        <v>10</v>
      </c>
      <c r="C17" s="153"/>
      <c r="D17" s="154"/>
      <c r="E17" s="9">
        <f>-E16*'Fane 5. Individuelt eff. krav'!G9</f>
        <v>0</v>
      </c>
      <c r="F17" s="14" t="s">
        <v>3</v>
      </c>
      <c r="G17" s="1"/>
    </row>
    <row r="18" spans="1:7" x14ac:dyDescent="0.25">
      <c r="A18" s="1"/>
      <c r="B18" s="152" t="s">
        <v>23</v>
      </c>
      <c r="C18" s="153"/>
      <c r="D18" s="154"/>
      <c r="E18" s="9">
        <f>-E16*'Fane 15. Nøgletal'!C33</f>
        <v>0</v>
      </c>
      <c r="F18" s="14" t="s">
        <v>3</v>
      </c>
      <c r="G18" s="1"/>
    </row>
    <row r="19" spans="1:7" x14ac:dyDescent="0.25">
      <c r="A19" s="1"/>
      <c r="B19" s="119" t="s">
        <v>125</v>
      </c>
      <c r="C19" s="120"/>
      <c r="D19" s="121"/>
      <c r="E19" s="12">
        <f>SUM(E16:E18)*(1+'Fane 15. Nøgletal'!C16)^3</f>
        <v>0</v>
      </c>
      <c r="F19" s="13" t="s">
        <v>3</v>
      </c>
      <c r="G19" s="1"/>
    </row>
    <row r="20" spans="1:7" x14ac:dyDescent="0.25">
      <c r="A20" s="1"/>
      <c r="B20" s="1"/>
      <c r="C20" s="1"/>
      <c r="D20" s="1"/>
      <c r="E20" s="1"/>
      <c r="F20" s="1"/>
      <c r="G20" s="1"/>
    </row>
    <row r="21" spans="1:7" ht="15" customHeight="1" x14ac:dyDescent="0.25">
      <c r="A21" s="1"/>
      <c r="B21" s="119" t="s">
        <v>145</v>
      </c>
      <c r="C21" s="120"/>
      <c r="D21" s="120"/>
      <c r="E21" s="120"/>
      <c r="F21" s="121"/>
      <c r="G21" s="1"/>
    </row>
    <row r="22" spans="1:7" x14ac:dyDescent="0.25">
      <c r="A22" s="1"/>
      <c r="B22" s="143" t="s">
        <v>236</v>
      </c>
      <c r="C22" s="144"/>
      <c r="D22" s="145"/>
      <c r="E22" s="9">
        <v>0</v>
      </c>
      <c r="F22" s="14" t="s">
        <v>3</v>
      </c>
      <c r="G22" s="1"/>
    </row>
    <row r="23" spans="1:7" x14ac:dyDescent="0.25">
      <c r="A23" s="1"/>
      <c r="B23" s="152" t="s">
        <v>10</v>
      </c>
      <c r="C23" s="153"/>
      <c r="D23" s="154"/>
      <c r="E23" s="9">
        <f>-E22*'Fane 5. Individuelt eff. krav'!G9</f>
        <v>0</v>
      </c>
      <c r="F23" s="14" t="s">
        <v>3</v>
      </c>
      <c r="G23" s="1"/>
    </row>
    <row r="24" spans="1:7" x14ac:dyDescent="0.25">
      <c r="A24" s="1"/>
      <c r="B24" s="152" t="s">
        <v>23</v>
      </c>
      <c r="C24" s="153"/>
      <c r="D24" s="154"/>
      <c r="E24" s="9">
        <f>-E22*'Fane 15. Nøgletal'!C33</f>
        <v>0</v>
      </c>
      <c r="F24" s="14" t="s">
        <v>3</v>
      </c>
      <c r="G24" s="1"/>
    </row>
    <row r="25" spans="1:7" x14ac:dyDescent="0.25">
      <c r="A25" s="1"/>
      <c r="B25" s="119" t="s">
        <v>146</v>
      </c>
      <c r="C25" s="120"/>
      <c r="D25" s="121"/>
      <c r="E25" s="12">
        <f>SUM(E22:E24)*(1+'Fane 15. Nøgletal'!C16)^4</f>
        <v>0</v>
      </c>
      <c r="F25" s="13" t="s">
        <v>3</v>
      </c>
      <c r="G25" s="1"/>
    </row>
    <row r="26" spans="1:7" x14ac:dyDescent="0.25">
      <c r="A26" s="1"/>
      <c r="B26" s="1"/>
      <c r="C26" s="1"/>
      <c r="D26" s="1"/>
      <c r="E26" s="1"/>
      <c r="F26" s="1"/>
      <c r="G26" s="1"/>
    </row>
    <row r="27" spans="1:7" ht="15" customHeight="1" x14ac:dyDescent="0.25">
      <c r="A27" s="1"/>
      <c r="B27" s="119" t="s">
        <v>237</v>
      </c>
      <c r="C27" s="120"/>
      <c r="D27" s="120"/>
      <c r="E27" s="120"/>
      <c r="F27" s="121"/>
      <c r="G27" s="1"/>
    </row>
    <row r="28" spans="1:7" ht="14.25" customHeight="1" x14ac:dyDescent="0.25">
      <c r="A28" s="1"/>
      <c r="B28" s="143" t="s">
        <v>236</v>
      </c>
      <c r="C28" s="144"/>
      <c r="D28" s="145"/>
      <c r="E28" s="9">
        <v>0</v>
      </c>
      <c r="F28" s="14" t="s">
        <v>3</v>
      </c>
      <c r="G28" s="1"/>
    </row>
    <row r="29" spans="1:7" x14ac:dyDescent="0.25">
      <c r="A29" s="1"/>
      <c r="B29" s="152" t="s">
        <v>10</v>
      </c>
      <c r="C29" s="153"/>
      <c r="D29" s="154"/>
      <c r="E29" s="9">
        <f>-E28*'Fane 5. Individuelt eff. krav'!G9</f>
        <v>0</v>
      </c>
      <c r="F29" s="14" t="s">
        <v>3</v>
      </c>
      <c r="G29" s="1"/>
    </row>
    <row r="30" spans="1:7" x14ac:dyDescent="0.25">
      <c r="A30" s="1"/>
      <c r="B30" s="152" t="s">
        <v>23</v>
      </c>
      <c r="C30" s="153"/>
      <c r="D30" s="154"/>
      <c r="E30" s="9">
        <f>-E28*'Fane 15. Nøgletal'!C33</f>
        <v>0</v>
      </c>
      <c r="F30" s="14" t="s">
        <v>3</v>
      </c>
      <c r="G30" s="1"/>
    </row>
    <row r="31" spans="1:7" x14ac:dyDescent="0.25">
      <c r="A31" s="1"/>
      <c r="B31" s="119" t="s">
        <v>238</v>
      </c>
      <c r="C31" s="120"/>
      <c r="D31" s="121"/>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wOme6HitBHs3Fk9B4Ge8jCkjb8a8W2Tkg5+DjJnwnDXo7hZMJdX79n3Rpno78sAZb5zSP2CyEAZdTv7FfKfmA==" saltValue="usy1ZVrQQHQtw2fVnq41A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186</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9" t="s">
        <v>112</v>
      </c>
      <c r="C8" s="120"/>
      <c r="D8" s="120"/>
      <c r="E8" s="120"/>
      <c r="F8" s="121"/>
      <c r="G8" s="1"/>
    </row>
    <row r="9" spans="1:7" ht="15" customHeight="1" x14ac:dyDescent="0.25">
      <c r="A9" s="1"/>
      <c r="B9" s="31" t="s">
        <v>113</v>
      </c>
      <c r="C9" s="31" t="s">
        <v>11</v>
      </c>
      <c r="D9" s="32"/>
      <c r="E9" s="31" t="s">
        <v>28</v>
      </c>
      <c r="F9" s="32"/>
      <c r="G9" s="1"/>
    </row>
    <row r="10" spans="1:7" ht="26.25" x14ac:dyDescent="0.25">
      <c r="A10" s="1"/>
      <c r="B10" s="72" t="s">
        <v>268</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K4yyyCxHZrbBSvjCjOxKjHjW9Dt0R2oQ8hDujvIcr45dFVDbidWyeoSa/hflohNzEjOooZpuuW5LIGaBHXz2kQ==" saltValue="HPZaimcgEh2cu5sWGX9vp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187</v>
      </c>
      <c r="C3" s="115"/>
      <c r="D3" s="115"/>
      <c r="E3" s="115"/>
      <c r="F3" s="115"/>
      <c r="G3" s="1"/>
    </row>
    <row r="4" spans="1:7" ht="25.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9" t="s">
        <v>240</v>
      </c>
      <c r="C9" s="120"/>
      <c r="D9" s="120"/>
      <c r="E9" s="120"/>
      <c r="F9" s="121"/>
      <c r="G9" s="1"/>
    </row>
    <row r="10" spans="1:7" ht="26.25" customHeight="1" x14ac:dyDescent="0.25">
      <c r="A10" s="1"/>
      <c r="B10" s="31" t="s">
        <v>18</v>
      </c>
      <c r="C10" s="146" t="s">
        <v>11</v>
      </c>
      <c r="D10" s="148"/>
      <c r="E10" s="146" t="s">
        <v>28</v>
      </c>
      <c r="F10" s="148"/>
      <c r="G10" s="1"/>
    </row>
    <row r="11" spans="1:7" x14ac:dyDescent="0.25">
      <c r="A11" s="1"/>
      <c r="B11" s="72" t="s">
        <v>269</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1"/>
      <c r="C15" s="151"/>
      <c r="D15" s="151"/>
      <c r="E15" s="151"/>
      <c r="F15" s="151"/>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1"/>
      <c r="C21" s="151"/>
      <c r="D21" s="151"/>
      <c r="E21" s="151"/>
      <c r="F21" s="151"/>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1"/>
      <c r="C27" s="151"/>
      <c r="D27" s="151"/>
      <c r="E27" s="151"/>
      <c r="F27" s="151"/>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0Gs0WVG56siWh+92G8UqzfVwr96nSX98AoULbi3j3F0KlkA8EDbgD0HnIbsIbS/YQiNGv7UNpyzjsQFImS8hg==" saltValue="4JEwCfalN+U4X3UGX7+tp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201</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63818825.000731185</v>
      </c>
      <c r="D9" s="8" t="s">
        <v>3</v>
      </c>
      <c r="E9" s="1"/>
    </row>
    <row r="10" spans="1:5" ht="17.25" customHeight="1" x14ac:dyDescent="0.25">
      <c r="A10" s="1"/>
      <c r="B10" s="90" t="s">
        <v>36</v>
      </c>
      <c r="C10" s="7">
        <f>'Fane 11.1. Varige tillæg'!C20</f>
        <v>1524390.5824</v>
      </c>
      <c r="D10" s="8" t="s">
        <v>3</v>
      </c>
      <c r="E10" s="1"/>
    </row>
    <row r="11" spans="1:5" ht="17.25" customHeight="1" x14ac:dyDescent="0.25">
      <c r="A11" s="1"/>
      <c r="B11" s="90" t="s">
        <v>37</v>
      </c>
      <c r="C11" s="9">
        <f>'Fane 11.1. Varige tillæg'!E20</f>
        <v>848500.41359999997</v>
      </c>
      <c r="D11" s="8" t="s">
        <v>3</v>
      </c>
      <c r="E11" s="1"/>
    </row>
    <row r="12" spans="1:5" ht="17.25" customHeight="1" x14ac:dyDescent="0.25">
      <c r="A12" s="1"/>
      <c r="B12" s="90" t="s">
        <v>26</v>
      </c>
      <c r="C12" s="9">
        <f>-'Fane 14. Bortfald'!C13</f>
        <v>0</v>
      </c>
      <c r="D12" s="8" t="s">
        <v>3</v>
      </c>
      <c r="E12" s="1"/>
    </row>
    <row r="13" spans="1:5" ht="17.25" customHeight="1" x14ac:dyDescent="0.25">
      <c r="A13" s="1"/>
      <c r="B13" s="90" t="s">
        <v>25</v>
      </c>
      <c r="C13" s="9">
        <f>-'Fane 14. Bortfald'!E13</f>
        <v>0</v>
      </c>
      <c r="D13" s="8" t="s">
        <v>3</v>
      </c>
      <c r="E13" s="1"/>
    </row>
    <row r="14" spans="1:5" ht="17.25" customHeight="1" x14ac:dyDescent="0.25">
      <c r="A14" s="1"/>
      <c r="B14" s="90" t="s">
        <v>105</v>
      </c>
      <c r="C14" s="9">
        <f>'Fane 13. Tilknyttet virksomhed'!C14</f>
        <v>0</v>
      </c>
      <c r="D14" s="8" t="s">
        <v>3</v>
      </c>
      <c r="E14" s="1"/>
    </row>
    <row r="15" spans="1:5" ht="17.25" customHeight="1" x14ac:dyDescent="0.25">
      <c r="A15" s="1"/>
      <c r="B15" s="90" t="s">
        <v>106</v>
      </c>
      <c r="C15" s="9">
        <f>'Fane 13. Tilknyttet virksomhed'!E14</f>
        <v>0</v>
      </c>
      <c r="D15" s="8" t="s">
        <v>3</v>
      </c>
      <c r="E15" s="1"/>
    </row>
    <row r="16" spans="1:5" ht="17.25" customHeight="1" x14ac:dyDescent="0.25">
      <c r="A16" s="1"/>
      <c r="B16" s="90" t="s">
        <v>19</v>
      </c>
      <c r="C16" s="41">
        <f>SUM(C9)*'Fane 15. Nøgletal'!C16+SUM(C10:C15)*'Fane 15. Nøgletal'!C16</f>
        <v>5348290.65253588</v>
      </c>
      <c r="D16" s="8" t="s">
        <v>3</v>
      </c>
      <c r="E16" s="1"/>
    </row>
    <row r="17" spans="1:5" ht="17.25" customHeight="1" x14ac:dyDescent="0.25">
      <c r="A17" s="1"/>
      <c r="B17" s="90" t="s">
        <v>10</v>
      </c>
      <c r="C17" s="41">
        <f>-SUM(C9,C10:C16)*'Fane 5. Individuelt eff. krav'!G9</f>
        <v>0</v>
      </c>
      <c r="D17" s="8" t="s">
        <v>3</v>
      </c>
      <c r="E17" s="1"/>
    </row>
    <row r="18" spans="1:5" ht="17.25" customHeight="1" x14ac:dyDescent="0.25">
      <c r="A18" s="1"/>
      <c r="B18" s="90" t="s">
        <v>23</v>
      </c>
      <c r="C18" s="41">
        <f>-'Fane 4.1. Gen. krav - drift'!G54</f>
        <v>-360186.58859343774</v>
      </c>
      <c r="D18" s="8" t="s">
        <v>3</v>
      </c>
      <c r="E18" s="1"/>
    </row>
    <row r="19" spans="1:5" ht="17.25" customHeight="1" x14ac:dyDescent="0.25">
      <c r="A19" s="1"/>
      <c r="B19" s="90" t="s">
        <v>24</v>
      </c>
      <c r="C19" s="41">
        <f>-'Fane 4.2. Gen. krav - anlæg'!G55</f>
        <v>0</v>
      </c>
      <c r="D19" s="8" t="s">
        <v>3</v>
      </c>
      <c r="E19" s="47"/>
    </row>
    <row r="20" spans="1:5" ht="17.25" customHeight="1" x14ac:dyDescent="0.25">
      <c r="A20" s="1"/>
      <c r="B20" s="84" t="s">
        <v>21</v>
      </c>
      <c r="C20" s="10">
        <f>SUM(C9:C19)</f>
        <v>71179820.060673624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853909.04461183993</v>
      </c>
      <c r="D22" s="11" t="s">
        <v>3</v>
      </c>
      <c r="E22" s="1"/>
    </row>
    <row r="23" spans="1:5" ht="15" customHeight="1" x14ac:dyDescent="0.25">
      <c r="A23" s="1"/>
      <c r="B23" s="33" t="s">
        <v>74</v>
      </c>
      <c r="C23" s="28"/>
      <c r="D23" s="19"/>
      <c r="E23" s="1"/>
    </row>
    <row r="24" spans="1:5" ht="15" customHeight="1" x14ac:dyDescent="0.25">
      <c r="A24" s="1"/>
      <c r="B24" s="84"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0" t="s">
        <v>158</v>
      </c>
      <c r="C26" s="66">
        <f>'Fane 11.2. Engangstillæg'!C14</f>
        <v>3099341.9865945596</v>
      </c>
      <c r="D26" s="8" t="s">
        <v>3</v>
      </c>
      <c r="E26" s="1"/>
    </row>
    <row r="27" spans="1:5" ht="15" customHeight="1" x14ac:dyDescent="0.25">
      <c r="A27" s="1"/>
      <c r="B27" s="90" t="s">
        <v>70</v>
      </c>
      <c r="C27" s="73">
        <f>'Fane 11.2. Engangstillæg'!E14</f>
        <v>0</v>
      </c>
      <c r="D27" s="8" t="s">
        <v>3</v>
      </c>
      <c r="E27" s="1"/>
    </row>
    <row r="28" spans="1:5" ht="15" customHeight="1" x14ac:dyDescent="0.25">
      <c r="A28" s="1"/>
      <c r="B28" s="90" t="s">
        <v>161</v>
      </c>
      <c r="C28" s="66">
        <f>-C26*('Fane 15. Nøgletal'!C33+'Fane 5. Individuelt eff. krav'!G9)</f>
        <v>-61986.839731891196</v>
      </c>
      <c r="D28" s="8" t="s">
        <v>3</v>
      </c>
      <c r="E28" s="1"/>
    </row>
    <row r="29" spans="1:5" ht="15" customHeight="1" x14ac:dyDescent="0.25">
      <c r="A29" s="1"/>
      <c r="B29" s="90" t="s">
        <v>162</v>
      </c>
      <c r="C29" s="73">
        <f>-C27*('Fane 15. Nøgletal'!C28+'Fane 5. Individuelt eff. krav'!G9)</f>
        <v>0</v>
      </c>
      <c r="D29" s="8" t="s">
        <v>3</v>
      </c>
      <c r="E29" s="1"/>
    </row>
    <row r="30" spans="1:5" ht="15" customHeight="1" x14ac:dyDescent="0.25">
      <c r="A30" s="1"/>
      <c r="B30" s="71" t="s">
        <v>75</v>
      </c>
      <c r="C30" s="10">
        <f>SUM(C26:C29)</f>
        <v>3037355.1468626685</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7. Kontrol af ØR2022'!E31</f>
        <v>0</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3" t="s">
        <v>108</v>
      </c>
      <c r="C37" s="49">
        <f>SUM(C34,C32,C24,C30,C22,C20,C36)</f>
        <v>75071084.252148136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zA1VmEcW2LCXK9EaqGKyDlizYAicykkcVm36VEH9PpKqkrGeanAVgUYdw3+lM7fJ/JZsOxqOF5sMwcXtPELbw==" saltValue="FvGQHdsVHPFRLKP+FXrkn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5" t="s">
        <v>188</v>
      </c>
      <c r="C3" s="115"/>
      <c r="D3" s="1"/>
    </row>
    <row r="4" spans="1:4" ht="25.5" customHeight="1" x14ac:dyDescent="0.25">
      <c r="A4" s="1"/>
      <c r="B4" s="115"/>
      <c r="C4" s="11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3" t="s">
        <v>94</v>
      </c>
      <c r="C9" s="25">
        <v>1.2699999999999999E-2</v>
      </c>
      <c r="D9" s="1"/>
    </row>
    <row r="10" spans="1:4" x14ac:dyDescent="0.25">
      <c r="A10" s="1"/>
      <c r="B10" s="83" t="s">
        <v>95</v>
      </c>
      <c r="C10" s="25">
        <v>1.7500000000000002E-2</v>
      </c>
      <c r="D10" s="1"/>
    </row>
    <row r="11" spans="1:4" x14ac:dyDescent="0.25">
      <c r="A11" s="1"/>
      <c r="B11" s="83"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3" t="s">
        <v>133</v>
      </c>
      <c r="C14" s="39">
        <v>3.3E-3</v>
      </c>
      <c r="D14" s="1"/>
    </row>
    <row r="15" spans="1:4" x14ac:dyDescent="0.25">
      <c r="A15" s="1"/>
      <c r="B15" s="34" t="s">
        <v>152</v>
      </c>
      <c r="C15" s="35">
        <v>3.56E-2</v>
      </c>
      <c r="D15" s="1"/>
    </row>
    <row r="16" spans="1:4" x14ac:dyDescent="0.25">
      <c r="A16" s="1"/>
      <c r="B16" s="65"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3" t="s">
        <v>96</v>
      </c>
      <c r="C21" s="22">
        <v>9.1000000000000004E-3</v>
      </c>
      <c r="D21" s="1"/>
    </row>
    <row r="22" spans="1:4" x14ac:dyDescent="0.25">
      <c r="A22" s="1"/>
      <c r="B22" s="83" t="s">
        <v>118</v>
      </c>
      <c r="C22" s="22">
        <v>1.77E-2</v>
      </c>
      <c r="D22" s="1"/>
    </row>
    <row r="23" spans="1:4" x14ac:dyDescent="0.25">
      <c r="A23" s="1"/>
      <c r="B23" s="83" t="s">
        <v>119</v>
      </c>
      <c r="C23" s="22">
        <v>8.6999999999999994E-3</v>
      </c>
      <c r="D23" s="1"/>
    </row>
    <row r="24" spans="1:4" x14ac:dyDescent="0.25">
      <c r="A24" s="1"/>
      <c r="B24" s="83" t="s">
        <v>97</v>
      </c>
      <c r="C24" s="36">
        <v>2.8400000000000002E-2</v>
      </c>
      <c r="D24" s="1"/>
    </row>
    <row r="25" spans="1:4" x14ac:dyDescent="0.25">
      <c r="A25" s="1"/>
      <c r="B25" s="83" t="s">
        <v>120</v>
      </c>
      <c r="C25" s="36">
        <v>2.75E-2</v>
      </c>
      <c r="D25" s="1"/>
    </row>
    <row r="26" spans="1:4" x14ac:dyDescent="0.25">
      <c r="A26" s="1"/>
      <c r="B26" s="83" t="s">
        <v>121</v>
      </c>
      <c r="C26" s="36">
        <v>1.4800000000000001E-2</v>
      </c>
      <c r="D26" s="1"/>
    </row>
    <row r="27" spans="1:4" x14ac:dyDescent="0.25">
      <c r="A27" s="1"/>
      <c r="B27" s="34" t="s">
        <v>147</v>
      </c>
      <c r="C27" s="64">
        <v>0</v>
      </c>
      <c r="D27" s="1"/>
    </row>
    <row r="28" spans="1:4" x14ac:dyDescent="0.25">
      <c r="A28" s="1"/>
      <c r="B28" s="65"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3"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rOA4NhraLCtqmrDSN//kkzw44SyAfQoyl3v6Ca/lb2c5xRdeVWPknjLnI6R3OPQO9bkUsCsUUBJTFdoFfiCsnw==" saltValue="jP/AnpD5+xA4+8IJ+4fG7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202</v>
      </c>
      <c r="C3" s="112"/>
      <c r="D3" s="112"/>
      <c r="E3" s="1"/>
    </row>
    <row r="4" spans="1:5" ht="15" customHeight="1" x14ac:dyDescent="0.25">
      <c r="A4" s="1"/>
      <c r="B4" s="112"/>
      <c r="C4" s="112"/>
      <c r="D4" s="112"/>
      <c r="E4" s="1"/>
    </row>
    <row r="5" spans="1:5" x14ac:dyDescent="0.25">
      <c r="A5" s="1"/>
      <c r="B5" s="113"/>
      <c r="C5" s="113"/>
      <c r="D5" s="113"/>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71179820.060673624</v>
      </c>
      <c r="D9" s="8" t="s">
        <v>3</v>
      </c>
      <c r="E9" s="1"/>
    </row>
    <row r="10" spans="1:5" ht="15" customHeight="1" x14ac:dyDescent="0.25">
      <c r="A10" s="1"/>
      <c r="B10" s="26" t="s">
        <v>19</v>
      </c>
      <c r="C10" s="7">
        <f>SUM(C9:C9)*'Fane 15. Nøgletal'!C16</f>
        <v>5751329.4609024283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-381503.8716527517</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76549645.649923295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922904.89541647653</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77472550.545339778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BxjIGAalxPc3J9WJErg2W19MsrYGTGRiErOhSp+/Oac24f8Y7eC5ZVbH5sZcNIaKuNZj/RaSnmF7kMD4vCOhg==" saltValue="z+C88XSSh366cpo7ZIVJB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203</v>
      </c>
      <c r="C3" s="112"/>
      <c r="D3" s="112"/>
      <c r="E3" s="1"/>
    </row>
    <row r="4" spans="1:5" ht="15" customHeight="1" x14ac:dyDescent="0.25">
      <c r="A4" s="1"/>
      <c r="B4" s="112"/>
      <c r="C4" s="112"/>
      <c r="D4" s="112"/>
      <c r="E4" s="1"/>
    </row>
    <row r="5" spans="1:5" x14ac:dyDescent="0.25">
      <c r="A5" s="1"/>
      <c r="B5" s="113" t="s">
        <v>253</v>
      </c>
      <c r="C5" s="113"/>
      <c r="D5" s="113"/>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76549645.649923295</v>
      </c>
      <c r="D9" s="8" t="s">
        <v>3</v>
      </c>
      <c r="E9" s="1"/>
    </row>
    <row r="10" spans="1:5" ht="15" customHeight="1" x14ac:dyDescent="0.25">
      <c r="A10" s="1"/>
      <c r="B10" s="26" t="s">
        <v>19</v>
      </c>
      <c r="C10" s="7">
        <f>SUM(C9:C9)*'Fane 15. Nøgletal'!C16</f>
        <v>6185211.3685138021</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-404082.79679264815</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82330774.221644461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997475.61096612783</v>
      </c>
      <c r="D16" s="11" t="s">
        <v>3</v>
      </c>
      <c r="E16" s="1"/>
    </row>
    <row r="17" spans="1:5" ht="15" customHeight="1" x14ac:dyDescent="0.25">
      <c r="A17" s="1"/>
      <c r="B17" s="33" t="s">
        <v>74</v>
      </c>
      <c r="C17" s="28"/>
      <c r="D17" s="19"/>
      <c r="E17" s="1"/>
    </row>
    <row r="18" spans="1:5" ht="15" customHeight="1" x14ac:dyDescent="0.25">
      <c r="A18" s="1"/>
      <c r="B18" s="84"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83328249.832610592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2FIcxOFM+nEeKDF1gqo0O/J7F4Wu6nxHt+XNLYazyDEd0zMjZKwG7N/egkrs/gdJpYd9+1ZGRmhsXFl2vfq8g==" saltValue="myQ61VRzDnv8SZxslCNn0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204</v>
      </c>
      <c r="C3" s="112"/>
      <c r="D3" s="112"/>
      <c r="E3" s="1"/>
      <c r="F3" s="1"/>
    </row>
    <row r="4" spans="1:6" ht="15" customHeight="1" x14ac:dyDescent="0.25">
      <c r="A4" s="1"/>
      <c r="B4" s="112"/>
      <c r="C4" s="112"/>
      <c r="D4" s="112"/>
      <c r="E4" s="1"/>
      <c r="F4" s="1"/>
    </row>
    <row r="5" spans="1:6" x14ac:dyDescent="0.25">
      <c r="A5" s="1"/>
      <c r="B5" s="113" t="s">
        <v>253</v>
      </c>
      <c r="C5" s="113"/>
      <c r="D5" s="113"/>
      <c r="E5" s="1"/>
      <c r="F5" s="1"/>
    </row>
    <row r="6" spans="1:6" x14ac:dyDescent="0.25">
      <c r="A6" s="1"/>
      <c r="B6" s="75"/>
      <c r="C6" s="75"/>
      <c r="D6" s="75"/>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82330774.221644461</v>
      </c>
      <c r="D9" s="8" t="s">
        <v>3</v>
      </c>
      <c r="E9" s="1"/>
      <c r="F9" s="1"/>
    </row>
    <row r="10" spans="1:6" ht="15" customHeight="1" x14ac:dyDescent="0.25">
      <c r="A10" s="1"/>
      <c r="B10" s="26" t="s">
        <v>19</v>
      </c>
      <c r="C10" s="7">
        <f>SUM(C9:C9)*'Fane 15. Nøgletal'!C16</f>
        <v>6652326.5571088726</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-427998.03303802427</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88555102.74571532</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1078071.640332191</v>
      </c>
      <c r="D16" s="11" t="s">
        <v>3</v>
      </c>
      <c r="E16" s="1"/>
      <c r="F16" s="1"/>
    </row>
    <row r="17" spans="1:6" ht="15" customHeight="1" x14ac:dyDescent="0.25">
      <c r="A17" s="1"/>
      <c r="B17" s="33" t="s">
        <v>74</v>
      </c>
      <c r="C17" s="28"/>
      <c r="D17" s="19"/>
      <c r="E17" s="1"/>
      <c r="F17" s="1"/>
    </row>
    <row r="18" spans="1:6" ht="15" customHeight="1" x14ac:dyDescent="0.25">
      <c r="A18" s="1"/>
      <c r="B18" s="84"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89633174.386047512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hU05qRb+R5ROO9qh/mZvK00OmdkluMuiTrD4YFGbrMGdpGEbmlwN5s64y07eb+/Xz30Kxe7cLln3aXfM6PVOw==" saltValue="vJlBB+zdknW3r8VwJMgOU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5" t="s">
        <v>205</v>
      </c>
      <c r="C3" s="115"/>
      <c r="D3" s="115"/>
      <c r="E3" s="1"/>
    </row>
    <row r="4" spans="1:5"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64927595.774453916</v>
      </c>
      <c r="D9" s="8" t="s">
        <v>3</v>
      </c>
      <c r="E9" s="1"/>
    </row>
    <row r="10" spans="1:5" x14ac:dyDescent="0.25">
      <c r="A10" s="1"/>
      <c r="B10" s="90" t="s">
        <v>36</v>
      </c>
      <c r="C10" s="7">
        <v>144026.07</v>
      </c>
      <c r="D10" s="8" t="s">
        <v>3</v>
      </c>
      <c r="E10" s="1"/>
    </row>
    <row r="11" spans="1:5" x14ac:dyDescent="0.25">
      <c r="A11" s="1"/>
      <c r="B11" s="90" t="s">
        <v>37</v>
      </c>
      <c r="C11" s="9">
        <v>0</v>
      </c>
      <c r="D11" s="8" t="s">
        <v>3</v>
      </c>
      <c r="E11" s="1"/>
    </row>
    <row r="12" spans="1:5" x14ac:dyDescent="0.25">
      <c r="A12" s="1"/>
      <c r="B12" s="90" t="s">
        <v>26</v>
      </c>
      <c r="C12" s="9">
        <v>0</v>
      </c>
      <c r="D12" s="8" t="s">
        <v>3</v>
      </c>
      <c r="E12" s="1"/>
    </row>
    <row r="13" spans="1:5" x14ac:dyDescent="0.25">
      <c r="A13" s="1"/>
      <c r="B13" s="90" t="s">
        <v>25</v>
      </c>
      <c r="C13" s="9">
        <v>0</v>
      </c>
      <c r="D13" s="8" t="s">
        <v>3</v>
      </c>
      <c r="E13" s="1"/>
    </row>
    <row r="14" spans="1:5" x14ac:dyDescent="0.25">
      <c r="A14" s="1"/>
      <c r="B14" s="90" t="s">
        <v>105</v>
      </c>
      <c r="C14" s="9">
        <v>0</v>
      </c>
      <c r="D14" s="8" t="s">
        <v>3</v>
      </c>
      <c r="E14" s="1"/>
    </row>
    <row r="15" spans="1:5" x14ac:dyDescent="0.25">
      <c r="A15" s="1"/>
      <c r="B15" s="90" t="s">
        <v>106</v>
      </c>
      <c r="C15" s="9">
        <v>0</v>
      </c>
      <c r="D15" s="8" t="s">
        <v>3</v>
      </c>
      <c r="E15" s="1"/>
    </row>
    <row r="16" spans="1:5" x14ac:dyDescent="0.25">
      <c r="A16" s="1"/>
      <c r="B16" s="90" t="s">
        <v>19</v>
      </c>
      <c r="C16" s="41">
        <v>219388.39414769792</v>
      </c>
      <c r="D16" s="8" t="s">
        <v>3</v>
      </c>
      <c r="E16" s="1"/>
    </row>
    <row r="17" spans="1:5" x14ac:dyDescent="0.25">
      <c r="A17" s="1"/>
      <c r="B17" s="90" t="s">
        <v>10</v>
      </c>
      <c r="C17" s="41">
        <v>-412188.46446895041</v>
      </c>
      <c r="D17" s="8" t="s">
        <v>3</v>
      </c>
      <c r="E17" s="1"/>
    </row>
    <row r="18" spans="1:5" x14ac:dyDescent="0.25">
      <c r="A18" s="1"/>
      <c r="B18" s="90" t="s">
        <v>23</v>
      </c>
      <c r="C18" s="41">
        <v>-308950.43898348103</v>
      </c>
      <c r="D18" s="8" t="s">
        <v>3</v>
      </c>
      <c r="E18" s="1"/>
    </row>
    <row r="19" spans="1:5" x14ac:dyDescent="0.25">
      <c r="A19" s="1"/>
      <c r="B19" s="90" t="s">
        <v>24</v>
      </c>
      <c r="C19" s="41">
        <v>-751046.33441800857</v>
      </c>
      <c r="D19" s="8" t="s">
        <v>3</v>
      </c>
      <c r="E19" s="47"/>
    </row>
    <row r="20" spans="1:5" x14ac:dyDescent="0.25">
      <c r="A20" s="1"/>
      <c r="B20" s="84" t="s">
        <v>21</v>
      </c>
      <c r="C20" s="10">
        <v>63818825.000731185</v>
      </c>
      <c r="D20" s="11" t="s">
        <v>3</v>
      </c>
      <c r="E20" s="1"/>
    </row>
    <row r="21" spans="1:5" x14ac:dyDescent="0.25">
      <c r="A21" s="1"/>
      <c r="B21" s="33" t="s">
        <v>12</v>
      </c>
      <c r="C21" s="28"/>
      <c r="D21" s="19"/>
      <c r="E21" s="1"/>
    </row>
    <row r="22" spans="1:5" x14ac:dyDescent="0.25">
      <c r="A22" s="1"/>
      <c r="B22" s="31" t="s">
        <v>12</v>
      </c>
      <c r="C22" s="10">
        <v>885866.6190988801</v>
      </c>
      <c r="D22" s="11" t="s">
        <v>3</v>
      </c>
      <c r="E22" s="1"/>
    </row>
    <row r="23" spans="1:5" x14ac:dyDescent="0.25">
      <c r="A23" s="1"/>
      <c r="B23" s="33" t="s">
        <v>74</v>
      </c>
      <c r="C23" s="28"/>
      <c r="D23" s="19"/>
      <c r="E23" s="1"/>
    </row>
    <row r="24" spans="1:5" x14ac:dyDescent="0.25">
      <c r="A24" s="1"/>
      <c r="B24" s="84" t="s">
        <v>74</v>
      </c>
      <c r="C24" s="10">
        <v>0</v>
      </c>
      <c r="D24" s="11" t="s">
        <v>3</v>
      </c>
      <c r="E24" s="1"/>
    </row>
    <row r="25" spans="1:5" x14ac:dyDescent="0.25">
      <c r="A25" s="1"/>
      <c r="B25" s="44" t="s">
        <v>73</v>
      </c>
      <c r="C25" s="42"/>
      <c r="D25" s="43"/>
      <c r="E25" s="1"/>
    </row>
    <row r="26" spans="1:5" x14ac:dyDescent="0.25">
      <c r="A26" s="1"/>
      <c r="B26" s="90" t="s">
        <v>158</v>
      </c>
      <c r="C26" s="70">
        <v>2237299.8989126403</v>
      </c>
      <c r="D26" s="8" t="s">
        <v>3</v>
      </c>
      <c r="E26" s="1"/>
    </row>
    <row r="27" spans="1:5" x14ac:dyDescent="0.25">
      <c r="A27" s="1"/>
      <c r="B27" s="90" t="s">
        <v>70</v>
      </c>
      <c r="C27" s="70">
        <v>0</v>
      </c>
      <c r="D27" s="8" t="s">
        <v>3</v>
      </c>
      <c r="E27" s="1"/>
    </row>
    <row r="28" spans="1:5" x14ac:dyDescent="0.25">
      <c r="A28" s="1"/>
      <c r="B28" s="90" t="s">
        <v>161</v>
      </c>
      <c r="C28" s="70">
        <v>-58870.288696366377</v>
      </c>
      <c r="D28" s="8" t="s">
        <v>3</v>
      </c>
      <c r="E28" s="1"/>
    </row>
    <row r="29" spans="1:5" x14ac:dyDescent="0.25">
      <c r="A29" s="1"/>
      <c r="B29" s="90" t="s">
        <v>162</v>
      </c>
      <c r="C29" s="70">
        <v>0</v>
      </c>
      <c r="D29" s="8" t="s">
        <v>3</v>
      </c>
      <c r="E29" s="1"/>
    </row>
    <row r="30" spans="1:5" x14ac:dyDescent="0.25">
      <c r="A30" s="1"/>
      <c r="B30" s="71" t="s">
        <v>75</v>
      </c>
      <c r="C30" s="10">
        <v>2178429.6102162739</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265</v>
      </c>
      <c r="C33" s="28"/>
      <c r="D33" s="19"/>
      <c r="E33" s="1"/>
    </row>
    <row r="34" spans="1:5" x14ac:dyDescent="0.25">
      <c r="A34" s="1"/>
      <c r="B34" s="31" t="s">
        <v>265</v>
      </c>
      <c r="C34" s="10">
        <v>0</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266</v>
      </c>
      <c r="C37" s="49">
        <v>66883121.230046339</v>
      </c>
      <c r="D37" s="30" t="s">
        <v>3</v>
      </c>
      <c r="E37" s="1"/>
    </row>
    <row r="38" spans="1:5" ht="30" customHeight="1" x14ac:dyDescent="0.25">
      <c r="A38" s="1"/>
      <c r="B38" s="114" t="s">
        <v>267</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SiCz0fwe1zLfviINlL1/ZcUcQI++PPAy37x+q8y061hV51EPsbA9uNRDS4lJL2v5Nr54aYw4vo6pZwlV7i5bw==" saltValue="TKH6aEeSgppnkGiaJKVLh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5" t="s">
        <v>91</v>
      </c>
      <c r="C2" s="115"/>
      <c r="D2" s="115"/>
      <c r="E2" s="115"/>
      <c r="F2" s="115"/>
      <c r="G2" s="115"/>
      <c r="H2" s="115"/>
      <c r="I2" s="1"/>
    </row>
    <row r="3" spans="1:9" ht="28.5" customHeight="1" x14ac:dyDescent="0.25">
      <c r="A3" s="1"/>
      <c r="B3" s="115"/>
      <c r="C3" s="115"/>
      <c r="D3" s="115"/>
      <c r="E3" s="115"/>
      <c r="F3" s="115"/>
      <c r="G3" s="115"/>
      <c r="H3" s="115"/>
      <c r="I3" s="1"/>
    </row>
    <row r="4" spans="1:9" x14ac:dyDescent="0.25">
      <c r="A4" s="1"/>
      <c r="B4" s="119" t="s">
        <v>46</v>
      </c>
      <c r="C4" s="120"/>
      <c r="D4" s="120"/>
      <c r="E4" s="120"/>
      <c r="F4" s="120"/>
      <c r="G4" s="120"/>
      <c r="H4" s="121"/>
      <c r="I4" s="1"/>
    </row>
    <row r="5" spans="1:9" x14ac:dyDescent="0.25">
      <c r="A5" s="1"/>
      <c r="B5" s="122" t="s">
        <v>38</v>
      </c>
      <c r="C5" s="123"/>
      <c r="D5" s="123"/>
      <c r="E5" s="123"/>
      <c r="F5" s="124"/>
      <c r="G5" s="63">
        <v>15039675.0832849</v>
      </c>
      <c r="H5" s="14" t="s">
        <v>3</v>
      </c>
      <c r="I5" s="1"/>
    </row>
    <row r="6" spans="1:9" x14ac:dyDescent="0.25">
      <c r="A6" s="1"/>
      <c r="B6" s="116" t="s">
        <v>102</v>
      </c>
      <c r="C6" s="117"/>
      <c r="D6" s="117"/>
      <c r="E6" s="117"/>
      <c r="F6" s="118"/>
      <c r="G6" s="67">
        <v>0</v>
      </c>
      <c r="H6" s="14" t="s">
        <v>3</v>
      </c>
      <c r="I6" s="1"/>
    </row>
    <row r="7" spans="1:9" x14ac:dyDescent="0.25">
      <c r="A7" s="1"/>
      <c r="B7" s="122" t="s">
        <v>39</v>
      </c>
      <c r="C7" s="123"/>
      <c r="D7" s="123"/>
      <c r="E7" s="123"/>
      <c r="F7" s="124"/>
      <c r="G7" s="23">
        <f>SUM(G5:G6)*'Fane 15. Nøgletal'!C33</f>
        <v>300793.50166569802</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9" t="s">
        <v>47</v>
      </c>
      <c r="C10" s="120"/>
      <c r="D10" s="120"/>
      <c r="E10" s="120"/>
      <c r="F10" s="120"/>
      <c r="G10" s="120"/>
      <c r="H10" s="121"/>
      <c r="I10" s="1"/>
    </row>
    <row r="11" spans="1:9" x14ac:dyDescent="0.25">
      <c r="A11" s="1"/>
      <c r="B11" s="122" t="s">
        <v>40</v>
      </c>
      <c r="C11" s="123"/>
      <c r="D11" s="123"/>
      <c r="E11" s="123"/>
      <c r="F11" s="124"/>
      <c r="G11" s="23">
        <f>(G5-G7)*(1+'Fane 15. Nøgletal'!C10)</f>
        <v>14996812.009297539</v>
      </c>
      <c r="H11" s="14" t="s">
        <v>3</v>
      </c>
      <c r="I11" s="1"/>
    </row>
    <row r="12" spans="1:9" ht="15" customHeight="1" x14ac:dyDescent="0.25">
      <c r="A12" s="1"/>
      <c r="B12" s="122" t="s">
        <v>103</v>
      </c>
      <c r="C12" s="123"/>
      <c r="D12" s="123"/>
      <c r="E12" s="123"/>
      <c r="F12" s="124"/>
      <c r="G12" s="67">
        <v>75094.205963921384</v>
      </c>
      <c r="H12" s="14" t="s">
        <v>3</v>
      </c>
      <c r="I12" s="1"/>
    </row>
    <row r="13" spans="1:9" x14ac:dyDescent="0.25">
      <c r="A13" s="1"/>
      <c r="B13" s="116" t="s">
        <v>100</v>
      </c>
      <c r="C13" s="117"/>
      <c r="D13" s="117"/>
      <c r="E13" s="117"/>
      <c r="F13" s="118"/>
      <c r="G13" s="23">
        <v>1266686.3147125</v>
      </c>
      <c r="H13" s="14" t="s">
        <v>3</v>
      </c>
      <c r="I13" s="1"/>
    </row>
    <row r="14" spans="1:9" x14ac:dyDescent="0.25">
      <c r="A14" s="1"/>
      <c r="B14" s="125" t="s">
        <v>244</v>
      </c>
      <c r="C14" s="126"/>
      <c r="D14" s="126"/>
      <c r="E14" s="126"/>
      <c r="F14" s="127"/>
      <c r="G14" s="23">
        <v>108765.66250000001</v>
      </c>
      <c r="H14" s="14" t="s">
        <v>3</v>
      </c>
      <c r="I14" s="1"/>
    </row>
    <row r="15" spans="1:9" x14ac:dyDescent="0.25">
      <c r="A15" s="1"/>
      <c r="B15" s="122" t="s">
        <v>41</v>
      </c>
      <c r="C15" s="123"/>
      <c r="D15" s="123"/>
      <c r="E15" s="123"/>
      <c r="F15" s="124"/>
      <c r="G15" s="23">
        <f>SUM(G11:G14)*'Fane 15. Nøgletal'!C33</f>
        <v>328947.16384947917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9" t="s">
        <v>48</v>
      </c>
      <c r="C18" s="120"/>
      <c r="D18" s="120"/>
      <c r="E18" s="120"/>
      <c r="F18" s="120"/>
      <c r="G18" s="120"/>
      <c r="H18" s="121"/>
      <c r="I18" s="1"/>
    </row>
    <row r="19" spans="1:9" x14ac:dyDescent="0.25">
      <c r="A19" s="1"/>
      <c r="B19" s="122" t="s">
        <v>42</v>
      </c>
      <c r="C19" s="123"/>
      <c r="D19" s="123"/>
      <c r="E19" s="123"/>
      <c r="F19" s="124"/>
      <c r="G19" s="23">
        <f>(SUM(G11:G12,G14)-(G15))*(1+'Fane 15. Nøgletal'!C10)</f>
        <v>15111629.896405442</v>
      </c>
      <c r="H19" s="14" t="s">
        <v>3</v>
      </c>
      <c r="I19" s="1"/>
    </row>
    <row r="20" spans="1:9" x14ac:dyDescent="0.25">
      <c r="A20" s="1"/>
      <c r="B20" s="125" t="s">
        <v>245</v>
      </c>
      <c r="C20" s="126"/>
      <c r="D20" s="126"/>
      <c r="E20" s="126"/>
      <c r="F20" s="127"/>
      <c r="G20" s="67">
        <v>1883678.9722342896</v>
      </c>
      <c r="H20" s="14" t="s">
        <v>3</v>
      </c>
      <c r="I20" s="1"/>
    </row>
    <row r="21" spans="1:9" x14ac:dyDescent="0.25">
      <c r="A21" s="1"/>
      <c r="B21" s="122" t="s">
        <v>43</v>
      </c>
      <c r="C21" s="123"/>
      <c r="D21" s="123"/>
      <c r="E21" s="123"/>
      <c r="F21" s="124"/>
      <c r="G21" s="23">
        <f>SUM(G19:G20)*'Fane 15. Nøgletal'!C33</f>
        <v>339906.1773727946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9" t="s">
        <v>49</v>
      </c>
      <c r="C24" s="120"/>
      <c r="D24" s="120"/>
      <c r="E24" s="120"/>
      <c r="F24" s="120"/>
      <c r="G24" s="120"/>
      <c r="H24" s="121"/>
      <c r="I24" s="1"/>
    </row>
    <row r="25" spans="1:9" x14ac:dyDescent="0.25">
      <c r="A25" s="1"/>
      <c r="B25" s="122" t="s">
        <v>44</v>
      </c>
      <c r="C25" s="123"/>
      <c r="D25" s="123"/>
      <c r="E25" s="123"/>
      <c r="F25" s="124"/>
      <c r="G25" s="23">
        <f>(G19+G20-G21)*(1+'Fane 15. Nøgletal'!C12)</f>
        <v>16983514.124284893</v>
      </c>
      <c r="H25" s="14" t="s">
        <v>3</v>
      </c>
      <c r="I25" s="1"/>
    </row>
    <row r="26" spans="1:9" x14ac:dyDescent="0.25">
      <c r="A26" s="1"/>
      <c r="B26" s="125" t="s">
        <v>246</v>
      </c>
      <c r="C26" s="126"/>
      <c r="D26" s="126"/>
      <c r="E26" s="126"/>
      <c r="F26" s="127"/>
      <c r="G26" s="67">
        <v>-1609625.8798971521</v>
      </c>
      <c r="H26" s="14" t="s">
        <v>3</v>
      </c>
      <c r="I26" s="1"/>
    </row>
    <row r="27" spans="1:9" x14ac:dyDescent="0.25">
      <c r="A27" s="1"/>
      <c r="B27" s="122" t="s">
        <v>45</v>
      </c>
      <c r="C27" s="123"/>
      <c r="D27" s="123"/>
      <c r="E27" s="123"/>
      <c r="F27" s="124"/>
      <c r="G27" s="23">
        <f>(G25+G26)*'Fane 15. Nøgletal'!C33</f>
        <v>307477.76488775486</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9" t="s">
        <v>52</v>
      </c>
      <c r="C30" s="120"/>
      <c r="D30" s="120"/>
      <c r="E30" s="120"/>
      <c r="F30" s="120"/>
      <c r="G30" s="120"/>
      <c r="H30" s="121"/>
      <c r="I30" s="1"/>
    </row>
    <row r="31" spans="1:9" x14ac:dyDescent="0.25">
      <c r="A31" s="1"/>
      <c r="B31" s="122" t="s">
        <v>53</v>
      </c>
      <c r="C31" s="123"/>
      <c r="D31" s="123"/>
      <c r="E31" s="123"/>
      <c r="F31" s="124"/>
      <c r="G31" s="23">
        <f>(G25+G26-G27)*(1+'Fane 15. Nøgletal'!C12)</f>
        <v>15363218.765946137</v>
      </c>
      <c r="H31" s="14" t="s">
        <v>3</v>
      </c>
      <c r="I31" s="1"/>
    </row>
    <row r="32" spans="1:9" x14ac:dyDescent="0.25">
      <c r="A32" s="1"/>
      <c r="B32" s="122" t="s">
        <v>243</v>
      </c>
      <c r="C32" s="123"/>
      <c r="D32" s="123"/>
      <c r="E32" s="123"/>
      <c r="F32" s="124"/>
      <c r="G32" s="63">
        <v>204351.3888822</v>
      </c>
      <c r="H32" s="14" t="s">
        <v>3</v>
      </c>
      <c r="I32" s="1"/>
    </row>
    <row r="33" spans="1:9" x14ac:dyDescent="0.25">
      <c r="A33" s="1"/>
      <c r="B33" s="122" t="s">
        <v>54</v>
      </c>
      <c r="C33" s="123"/>
      <c r="D33" s="123"/>
      <c r="E33" s="123"/>
      <c r="F33" s="124"/>
      <c r="G33" s="23">
        <f>(G31+G32)*'Fane 15. Nøgletal'!C33</f>
        <v>311351.40309656673</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9" t="s">
        <v>126</v>
      </c>
      <c r="C36" s="120"/>
      <c r="D36" s="120"/>
      <c r="E36" s="120"/>
      <c r="F36" s="120"/>
      <c r="G36" s="120"/>
      <c r="H36" s="121"/>
      <c r="I36" s="1"/>
    </row>
    <row r="37" spans="1:9" x14ac:dyDescent="0.25">
      <c r="A37" s="1"/>
      <c r="B37" s="122" t="s">
        <v>68</v>
      </c>
      <c r="C37" s="123"/>
      <c r="D37" s="123"/>
      <c r="E37" s="123"/>
      <c r="F37" s="124"/>
      <c r="G37" s="23">
        <f>(G31+G32-G33)*(1+'Fane 15. Nøgletal'!C14)</f>
        <v>15306564.273612486</v>
      </c>
      <c r="H37" s="14" t="s">
        <v>3</v>
      </c>
      <c r="I37" s="1"/>
    </row>
    <row r="38" spans="1:9" x14ac:dyDescent="0.25">
      <c r="A38" s="1"/>
      <c r="B38" s="122" t="s">
        <v>242</v>
      </c>
      <c r="C38" s="123"/>
      <c r="D38" s="123"/>
      <c r="E38" s="123"/>
      <c r="F38" s="124"/>
      <c r="G38" s="63">
        <v>252670.40610979006</v>
      </c>
      <c r="H38" s="14" t="s">
        <v>3</v>
      </c>
      <c r="I38" s="1"/>
    </row>
    <row r="39" spans="1:9" x14ac:dyDescent="0.25">
      <c r="A39" s="1"/>
      <c r="B39" s="122" t="s">
        <v>128</v>
      </c>
      <c r="C39" s="123"/>
      <c r="D39" s="123"/>
      <c r="E39" s="123"/>
      <c r="F39" s="124"/>
      <c r="G39" s="23">
        <f>(G37+G38)*'Fane 15. Nøgletal'!C33</f>
        <v>311184.69359444553</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9" t="s">
        <v>127</v>
      </c>
      <c r="C42" s="120"/>
      <c r="D42" s="120"/>
      <c r="E42" s="120"/>
      <c r="F42" s="120"/>
      <c r="G42" s="120"/>
      <c r="H42" s="121"/>
      <c r="I42" s="1"/>
    </row>
    <row r="43" spans="1:9" x14ac:dyDescent="0.25">
      <c r="A43" s="1"/>
      <c r="B43" s="122" t="s">
        <v>155</v>
      </c>
      <c r="C43" s="123"/>
      <c r="D43" s="123"/>
      <c r="E43" s="123"/>
      <c r="F43" s="124"/>
      <c r="G43" s="23">
        <f>(G37+G38-G39)*(1+'Fane 15. Nøgletal'!C14)</f>
        <v>15298368.551082052</v>
      </c>
      <c r="H43" s="14" t="s">
        <v>3</v>
      </c>
      <c r="I43" s="1"/>
    </row>
    <row r="44" spans="1:9" x14ac:dyDescent="0.25">
      <c r="A44" s="1"/>
      <c r="B44" s="128" t="s">
        <v>157</v>
      </c>
      <c r="C44" s="129"/>
      <c r="D44" s="129"/>
      <c r="E44" s="129"/>
      <c r="F44" s="130"/>
      <c r="G44" s="45">
        <v>149153.39809200002</v>
      </c>
      <c r="H44" s="14" t="s">
        <v>3</v>
      </c>
      <c r="I44" s="1"/>
    </row>
    <row r="45" spans="1:9" x14ac:dyDescent="0.25">
      <c r="A45" s="1"/>
      <c r="B45" s="122" t="s">
        <v>129</v>
      </c>
      <c r="C45" s="123"/>
      <c r="D45" s="123"/>
      <c r="E45" s="123"/>
      <c r="F45" s="124"/>
      <c r="G45" s="23">
        <f>SUM(G43:G44)*'Fane 15. Nøgletal'!C33</f>
        <v>308950.43898348103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9" t="s">
        <v>192</v>
      </c>
      <c r="C51" s="120"/>
      <c r="D51" s="120"/>
      <c r="E51" s="120"/>
      <c r="F51" s="120"/>
      <c r="G51" s="120"/>
      <c r="H51" s="121"/>
      <c r="I51" s="1"/>
    </row>
    <row r="52" spans="1:9" x14ac:dyDescent="0.25">
      <c r="A52" s="1"/>
      <c r="B52" s="122" t="s">
        <v>154</v>
      </c>
      <c r="C52" s="123"/>
      <c r="D52" s="123"/>
      <c r="E52" s="123"/>
      <c r="F52" s="124"/>
      <c r="G52" s="23">
        <f>(G43+G44-G45)*(1+'Fane 15. Nøgletal'!C16)</f>
        <v>16361768.088213969</v>
      </c>
      <c r="H52" s="14" t="s">
        <v>3</v>
      </c>
      <c r="I52" s="1"/>
    </row>
    <row r="53" spans="1:9" x14ac:dyDescent="0.25">
      <c r="A53" s="1"/>
      <c r="B53" s="80" t="s">
        <v>194</v>
      </c>
      <c r="C53" s="81"/>
      <c r="D53" s="81"/>
      <c r="E53" s="81"/>
      <c r="F53" s="82"/>
      <c r="G53" s="23">
        <f>('Fane 2.1. Økonomisk ramme 2024'!C10+'Fane 2.1. Økonomisk ramme 2024'!C12+'Fane 2.1. Økonomisk ramme 2024'!C14)*(1+'Fane 15. Nøgletal'!C16)</f>
        <v>1647561.3414579199</v>
      </c>
      <c r="H53" s="14" t="s">
        <v>3</v>
      </c>
      <c r="I53" s="1"/>
    </row>
    <row r="54" spans="1:9" x14ac:dyDescent="0.25">
      <c r="A54" s="1"/>
      <c r="B54" s="122" t="s">
        <v>210</v>
      </c>
      <c r="C54" s="123"/>
      <c r="D54" s="123"/>
      <c r="E54" s="123"/>
      <c r="F54" s="124"/>
      <c r="G54" s="23">
        <f>(G52)*'Fane 15. Nøgletal'!C33+(G53)*'Fane 15. Nøgletal'!C33</f>
        <v>360186.58859343774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9" t="s">
        <v>193</v>
      </c>
      <c r="C57" s="120"/>
      <c r="D57" s="120"/>
      <c r="E57" s="120"/>
      <c r="F57" s="120"/>
      <c r="G57" s="120"/>
      <c r="H57" s="121"/>
      <c r="I57" s="1"/>
    </row>
    <row r="58" spans="1:9" x14ac:dyDescent="0.25">
      <c r="A58" s="1"/>
      <c r="B58" s="80" t="s">
        <v>212</v>
      </c>
      <c r="C58" s="81"/>
      <c r="D58" s="81"/>
      <c r="E58" s="81"/>
      <c r="F58" s="82"/>
      <c r="G58" s="23">
        <f>(G52+G53-G54)*(1+'Fane 15. Nøgletal'!C16)</f>
        <v>19075193.582637586</v>
      </c>
      <c r="H58" s="14" t="s">
        <v>3</v>
      </c>
      <c r="I58" s="1"/>
    </row>
    <row r="59" spans="1:9" x14ac:dyDescent="0.25">
      <c r="A59" s="1"/>
      <c r="B59" s="80" t="s">
        <v>211</v>
      </c>
      <c r="C59" s="81"/>
      <c r="D59" s="81"/>
      <c r="E59" s="81"/>
      <c r="F59" s="82"/>
      <c r="G59" s="23">
        <f>(G58)*'Fane 15. Nøgletal'!C33</f>
        <v>381503.8716527517</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9" t="s">
        <v>256</v>
      </c>
      <c r="C62" s="120"/>
      <c r="D62" s="120"/>
      <c r="E62" s="120"/>
      <c r="F62" s="120"/>
      <c r="G62" s="120"/>
      <c r="H62" s="121"/>
      <c r="I62" s="1"/>
    </row>
    <row r="63" spans="1:9" x14ac:dyDescent="0.25">
      <c r="A63" s="1"/>
      <c r="B63" s="80" t="s">
        <v>213</v>
      </c>
      <c r="C63" s="81"/>
      <c r="D63" s="81"/>
      <c r="E63" s="81"/>
      <c r="F63" s="82"/>
      <c r="G63" s="23">
        <f>(G58-G59)*(1+'Fane 15. Nøgletal'!C16)</f>
        <v>20204139.839632407</v>
      </c>
      <c r="H63" s="14" t="s">
        <v>3</v>
      </c>
      <c r="I63" s="1"/>
    </row>
    <row r="64" spans="1:9" x14ac:dyDescent="0.25">
      <c r="A64" s="1"/>
      <c r="B64" s="80" t="s">
        <v>214</v>
      </c>
      <c r="C64" s="81"/>
      <c r="D64" s="81"/>
      <c r="E64" s="81"/>
      <c r="F64" s="82"/>
      <c r="G64" s="23">
        <f>(G63)*'Fane 15. Nøgletal'!C33</f>
        <v>404082.79679264815</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9" t="s">
        <v>257</v>
      </c>
      <c r="C67" s="120"/>
      <c r="D67" s="120"/>
      <c r="E67" s="120"/>
      <c r="F67" s="120"/>
      <c r="G67" s="120"/>
      <c r="H67" s="121"/>
      <c r="I67" s="1"/>
    </row>
    <row r="68" spans="1:9" x14ac:dyDescent="0.25">
      <c r="A68" s="1"/>
      <c r="B68" s="80" t="s">
        <v>213</v>
      </c>
      <c r="C68" s="81"/>
      <c r="D68" s="81"/>
      <c r="E68" s="81"/>
      <c r="F68" s="82"/>
      <c r="G68" s="23">
        <f>(G63-G64)*(1+'Fane 15. Nøgletal'!C16)</f>
        <v>21399901.651901212</v>
      </c>
      <c r="H68" s="14" t="s">
        <v>3</v>
      </c>
      <c r="I68" s="1"/>
    </row>
    <row r="69" spans="1:9" x14ac:dyDescent="0.25">
      <c r="A69" s="1"/>
      <c r="B69" s="80" t="s">
        <v>214</v>
      </c>
      <c r="C69" s="81"/>
      <c r="D69" s="81"/>
      <c r="E69" s="81"/>
      <c r="F69" s="82"/>
      <c r="G69" s="23">
        <f>(G68)*'Fane 15. Nøgletal'!C33</f>
        <v>427998.03303802427</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7DfeR98lvw3jgh+5nYcjCEVjHZzIIfJFAE9IS0Udndi0yKELjBGQYzVUja56th3gYRyjrAnGq6HuBFUaDvTrEw==" saltValue="FiwBa+vaJGmddOews8nKa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1" t="s">
        <v>92</v>
      </c>
      <c r="C1" s="131"/>
      <c r="D1" s="131"/>
      <c r="E1" s="131"/>
      <c r="F1" s="131"/>
      <c r="G1" s="131"/>
      <c r="H1" s="131"/>
      <c r="I1" s="1"/>
    </row>
    <row r="2" spans="1:9" ht="15" customHeight="1" x14ac:dyDescent="0.25">
      <c r="A2" s="1"/>
      <c r="B2" s="131"/>
      <c r="C2" s="131"/>
      <c r="D2" s="131"/>
      <c r="E2" s="131"/>
      <c r="F2" s="131"/>
      <c r="G2" s="131"/>
      <c r="H2" s="131"/>
      <c r="I2" s="1"/>
    </row>
    <row r="3" spans="1:9" ht="15" customHeight="1" x14ac:dyDescent="0.25">
      <c r="A3" s="1"/>
      <c r="B3" s="132"/>
      <c r="C3" s="132"/>
      <c r="D3" s="132"/>
      <c r="E3" s="132"/>
      <c r="F3" s="132"/>
      <c r="G3" s="132"/>
      <c r="H3" s="132"/>
      <c r="I3" s="1"/>
    </row>
    <row r="4" spans="1:9" x14ac:dyDescent="0.25">
      <c r="A4" s="1"/>
      <c r="B4" s="119" t="s">
        <v>50</v>
      </c>
      <c r="C4" s="120"/>
      <c r="D4" s="120"/>
      <c r="E4" s="120"/>
      <c r="F4" s="120"/>
      <c r="G4" s="120"/>
      <c r="H4" s="121"/>
      <c r="I4" s="1"/>
    </row>
    <row r="5" spans="1:9" x14ac:dyDescent="0.25">
      <c r="A5" s="1"/>
      <c r="B5" s="122" t="s">
        <v>55</v>
      </c>
      <c r="C5" s="123"/>
      <c r="D5" s="123"/>
      <c r="E5" s="123"/>
      <c r="F5" s="124"/>
      <c r="G5" s="63">
        <v>0</v>
      </c>
      <c r="H5" s="14" t="s">
        <v>3</v>
      </c>
      <c r="I5" s="1"/>
    </row>
    <row r="6" spans="1:9" x14ac:dyDescent="0.25">
      <c r="A6" s="1"/>
      <c r="B6" s="122" t="s">
        <v>51</v>
      </c>
      <c r="C6" s="123"/>
      <c r="D6" s="123"/>
      <c r="E6" s="123"/>
      <c r="F6" s="124"/>
      <c r="G6" s="63">
        <v>0</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9" t="s">
        <v>56</v>
      </c>
      <c r="C9" s="120"/>
      <c r="D9" s="120"/>
      <c r="E9" s="120"/>
      <c r="F9" s="120"/>
      <c r="G9" s="120"/>
      <c r="H9" s="121"/>
      <c r="I9" s="1"/>
    </row>
    <row r="10" spans="1:9" x14ac:dyDescent="0.25">
      <c r="A10" s="1"/>
      <c r="B10" s="122" t="s">
        <v>57</v>
      </c>
      <c r="C10" s="123"/>
      <c r="D10" s="123"/>
      <c r="E10" s="123"/>
      <c r="F10" s="124"/>
      <c r="G10" s="74">
        <v>0</v>
      </c>
      <c r="H10" s="14" t="s">
        <v>3</v>
      </c>
      <c r="I10" s="1"/>
    </row>
    <row r="11" spans="1:9" x14ac:dyDescent="0.25">
      <c r="A11" s="1"/>
      <c r="B11" s="122" t="s">
        <v>104</v>
      </c>
      <c r="C11" s="123"/>
      <c r="D11" s="123"/>
      <c r="E11" s="123"/>
      <c r="F11" s="124"/>
      <c r="G11" s="74">
        <v>0</v>
      </c>
      <c r="H11" s="14" t="s">
        <v>3</v>
      </c>
      <c r="I11" s="1"/>
    </row>
    <row r="12" spans="1:9" x14ac:dyDescent="0.25">
      <c r="A12" s="1"/>
      <c r="B12" s="125" t="s">
        <v>247</v>
      </c>
      <c r="C12" s="126"/>
      <c r="D12" s="126"/>
      <c r="E12" s="126"/>
      <c r="F12" s="127"/>
      <c r="G12" s="74">
        <v>0</v>
      </c>
      <c r="H12" s="14" t="s">
        <v>3</v>
      </c>
      <c r="I12" s="1"/>
    </row>
    <row r="13" spans="1:9" x14ac:dyDescent="0.25">
      <c r="A13" s="1"/>
      <c r="B13" s="122" t="s">
        <v>58</v>
      </c>
      <c r="C13" s="123"/>
      <c r="D13" s="123"/>
      <c r="E13" s="123"/>
      <c r="F13" s="124"/>
      <c r="G13" s="74">
        <v>0</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9" t="s">
        <v>59</v>
      </c>
      <c r="C16" s="120"/>
      <c r="D16" s="120"/>
      <c r="E16" s="120"/>
      <c r="F16" s="120"/>
      <c r="G16" s="120"/>
      <c r="H16" s="121"/>
      <c r="I16" s="1"/>
    </row>
    <row r="17" spans="1:9" x14ac:dyDescent="0.25">
      <c r="A17" s="1"/>
      <c r="B17" s="122" t="s">
        <v>60</v>
      </c>
      <c r="C17" s="123"/>
      <c r="D17" s="123"/>
      <c r="E17" s="123"/>
      <c r="F17" s="124"/>
      <c r="G17" s="74">
        <f>(SUM(G10:G12)-G13)*(1+'Fane 15. Nøgletal'!C10)</f>
        <v>0</v>
      </c>
      <c r="H17" s="14" t="s">
        <v>3</v>
      </c>
      <c r="I17" s="1"/>
    </row>
    <row r="18" spans="1:9" x14ac:dyDescent="0.25">
      <c r="A18" s="1"/>
      <c r="B18" s="125" t="s">
        <v>248</v>
      </c>
      <c r="C18" s="126"/>
      <c r="D18" s="126"/>
      <c r="E18" s="126"/>
      <c r="F18" s="127"/>
      <c r="G18" s="74">
        <f>(SUM(G11:G13)-G14)*(1+'Fane 15. Nøgletal'!C11)</f>
        <v>0</v>
      </c>
      <c r="H18" s="14" t="s">
        <v>3</v>
      </c>
      <c r="I18" s="1"/>
    </row>
    <row r="19" spans="1:9" x14ac:dyDescent="0.25">
      <c r="A19" s="1"/>
      <c r="B19" s="122" t="s">
        <v>61</v>
      </c>
      <c r="C19" s="123"/>
      <c r="D19" s="123"/>
      <c r="E19" s="123"/>
      <c r="F19" s="124"/>
      <c r="G19" s="74">
        <f>(SUM(G12:G14)-G15)*(1+'Fane 15. Nøgletal'!C12)</f>
        <v>0</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9" t="s">
        <v>62</v>
      </c>
      <c r="C22" s="120"/>
      <c r="D22" s="120"/>
      <c r="E22" s="120"/>
      <c r="F22" s="120"/>
      <c r="G22" s="120"/>
      <c r="H22" s="121"/>
      <c r="I22" s="1"/>
    </row>
    <row r="23" spans="1:9" x14ac:dyDescent="0.25">
      <c r="A23" s="1"/>
      <c r="B23" s="122" t="s">
        <v>63</v>
      </c>
      <c r="C23" s="123"/>
      <c r="D23" s="123"/>
      <c r="E23" s="123"/>
      <c r="F23" s="124"/>
      <c r="G23" s="74">
        <f>(G17+G18-G19)*(1+'Fane 15. Nøgletal'!C12)</f>
        <v>0</v>
      </c>
      <c r="H23" s="14" t="s">
        <v>3</v>
      </c>
      <c r="I23" s="1"/>
    </row>
    <row r="24" spans="1:9" x14ac:dyDescent="0.25">
      <c r="A24" s="1"/>
      <c r="B24" s="125" t="s">
        <v>249</v>
      </c>
      <c r="C24" s="126"/>
      <c r="D24" s="126"/>
      <c r="E24" s="126"/>
      <c r="F24" s="127"/>
      <c r="G24" s="74">
        <f>(G18+G19-G20)*(1+'Fane 15. Nøgletal'!C13)</f>
        <v>0</v>
      </c>
      <c r="H24" s="14" t="s">
        <v>3</v>
      </c>
      <c r="I24" s="1"/>
    </row>
    <row r="25" spans="1:9" x14ac:dyDescent="0.25">
      <c r="A25" s="1"/>
      <c r="B25" s="122" t="s">
        <v>64</v>
      </c>
      <c r="C25" s="123"/>
      <c r="D25" s="123"/>
      <c r="E25" s="123"/>
      <c r="F25" s="124"/>
      <c r="G25" s="74">
        <f>(G19+G20-G21)*(1+'Fane 15. Nøgletal'!C14)</f>
        <v>0</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9" t="s">
        <v>65</v>
      </c>
      <c r="C28" s="120"/>
      <c r="D28" s="120"/>
      <c r="E28" s="120"/>
      <c r="F28" s="120"/>
      <c r="G28" s="120"/>
      <c r="H28" s="121"/>
      <c r="I28" s="1"/>
    </row>
    <row r="29" spans="1:9" x14ac:dyDescent="0.25">
      <c r="A29" s="1"/>
      <c r="B29" s="122" t="s">
        <v>66</v>
      </c>
      <c r="C29" s="123"/>
      <c r="D29" s="123"/>
      <c r="E29" s="123"/>
      <c r="F29" s="124"/>
      <c r="G29" s="74">
        <f>(G23+G24-G25)*(1+'Fane 15. Nøgletal'!C18)</f>
        <v>0</v>
      </c>
      <c r="H29" s="14" t="s">
        <v>3</v>
      </c>
      <c r="I29" s="1"/>
    </row>
    <row r="30" spans="1:9" x14ac:dyDescent="0.25">
      <c r="A30" s="1"/>
      <c r="B30" s="122" t="s">
        <v>250</v>
      </c>
      <c r="C30" s="123"/>
      <c r="D30" s="123"/>
      <c r="E30" s="123"/>
      <c r="F30" s="124"/>
      <c r="G30" s="74">
        <f>(G24+G25-G26)*(1+'Fane 15. Nøgletal'!C19)</f>
        <v>0</v>
      </c>
      <c r="H30" s="14" t="s">
        <v>3</v>
      </c>
      <c r="I30" s="1"/>
    </row>
    <row r="31" spans="1:9" x14ac:dyDescent="0.25">
      <c r="A31" s="1"/>
      <c r="B31" s="122" t="s">
        <v>67</v>
      </c>
      <c r="C31" s="123"/>
      <c r="D31" s="123"/>
      <c r="E31" s="123"/>
      <c r="F31" s="124"/>
      <c r="G31" s="74">
        <f>(G25+G26-G27)*(1+'Fane 15. Nøgletal'!C20)</f>
        <v>0</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9" t="s">
        <v>130</v>
      </c>
      <c r="C34" s="120"/>
      <c r="D34" s="120"/>
      <c r="E34" s="120"/>
      <c r="F34" s="120"/>
      <c r="G34" s="120"/>
      <c r="H34" s="121"/>
      <c r="I34" s="1"/>
    </row>
    <row r="35" spans="1:9" x14ac:dyDescent="0.25">
      <c r="A35" s="1"/>
      <c r="B35" s="122" t="s">
        <v>215</v>
      </c>
      <c r="C35" s="123"/>
      <c r="D35" s="123"/>
      <c r="E35" s="123"/>
      <c r="F35" s="124"/>
      <c r="G35" s="74">
        <f>(G29+G30-G31)*(1+'Fane 15. Nøgletal'!C24)</f>
        <v>0</v>
      </c>
      <c r="H35" s="14" t="s">
        <v>3</v>
      </c>
      <c r="I35" s="1"/>
    </row>
    <row r="36" spans="1:9" x14ac:dyDescent="0.25">
      <c r="A36" s="1"/>
      <c r="B36" s="122" t="s">
        <v>251</v>
      </c>
      <c r="C36" s="123"/>
      <c r="D36" s="123"/>
      <c r="E36" s="123"/>
      <c r="F36" s="124"/>
      <c r="G36" s="74">
        <f>(G30+G31-G32)*(1+'Fane 15. Nøgletal'!C25)</f>
        <v>0</v>
      </c>
      <c r="H36" s="14" t="s">
        <v>3</v>
      </c>
      <c r="I36" s="1"/>
    </row>
    <row r="37" spans="1:9" x14ac:dyDescent="0.25">
      <c r="A37" s="1"/>
      <c r="B37" s="122" t="s">
        <v>131</v>
      </c>
      <c r="C37" s="123"/>
      <c r="D37" s="123"/>
      <c r="E37" s="123"/>
      <c r="F37" s="124"/>
      <c r="G37" s="74">
        <f>(G31+G32-G33)*(1+'Fane 15. Nøgletal'!C26)</f>
        <v>0</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9" t="s">
        <v>151</v>
      </c>
      <c r="C40" s="120"/>
      <c r="D40" s="120"/>
      <c r="E40" s="120"/>
      <c r="F40" s="120"/>
      <c r="G40" s="120"/>
      <c r="H40" s="121"/>
      <c r="I40" s="1"/>
    </row>
    <row r="41" spans="1:9" x14ac:dyDescent="0.25">
      <c r="A41" s="1"/>
      <c r="B41" s="122" t="s">
        <v>216</v>
      </c>
      <c r="C41" s="123"/>
      <c r="D41" s="123"/>
      <c r="E41" s="123"/>
      <c r="F41" s="124"/>
      <c r="G41" s="74">
        <f>(G35+G36-G37)*(1+'Fane 15. Nøgletal'!C30)</f>
        <v>0</v>
      </c>
      <c r="H41" s="14" t="s">
        <v>3</v>
      </c>
      <c r="I41" s="1"/>
    </row>
    <row r="42" spans="1:9" x14ac:dyDescent="0.25">
      <c r="A42" s="1"/>
      <c r="B42" s="40" t="s">
        <v>156</v>
      </c>
      <c r="C42" s="81"/>
      <c r="D42" s="81"/>
      <c r="E42" s="81"/>
      <c r="F42" s="82"/>
      <c r="G42" s="74">
        <f>(G36+G37-G38)*(1+'Fane 15. Nøgletal'!C31)</f>
        <v>0</v>
      </c>
      <c r="H42" s="14" t="s">
        <v>3</v>
      </c>
      <c r="I42" s="1"/>
    </row>
    <row r="43" spans="1:9" x14ac:dyDescent="0.25">
      <c r="A43" s="1"/>
      <c r="B43" s="122" t="s">
        <v>132</v>
      </c>
      <c r="C43" s="123"/>
      <c r="D43" s="123"/>
      <c r="E43" s="123"/>
      <c r="F43" s="124"/>
      <c r="G43" s="74">
        <f>(G37+G38-G39)*(1+'Fane 15. Nøgletal'!C32)</f>
        <v>0</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9" t="s">
        <v>259</v>
      </c>
      <c r="C52" s="120"/>
      <c r="D52" s="120"/>
      <c r="E52" s="120"/>
      <c r="F52" s="120"/>
      <c r="G52" s="120"/>
      <c r="H52" s="121"/>
      <c r="I52" s="1"/>
    </row>
    <row r="53" spans="1:9" x14ac:dyDescent="0.25">
      <c r="A53" s="1"/>
      <c r="B53" s="122" t="s">
        <v>217</v>
      </c>
      <c r="C53" s="123"/>
      <c r="D53" s="123"/>
      <c r="E53" s="123"/>
      <c r="F53" s="124"/>
      <c r="G53" s="74">
        <f>(G47+G48-G49)*(1+'Fane 15. Nøgletal'!C42)</f>
        <v>0</v>
      </c>
      <c r="H53" s="14" t="s">
        <v>3</v>
      </c>
      <c r="I53" s="1"/>
    </row>
    <row r="54" spans="1:9" x14ac:dyDescent="0.25">
      <c r="A54" s="1"/>
      <c r="B54" s="80" t="s">
        <v>195</v>
      </c>
      <c r="C54" s="81"/>
      <c r="D54" s="81"/>
      <c r="E54" s="81"/>
      <c r="F54" s="82"/>
      <c r="G54" s="23">
        <f>('Fane 2.1. Økonomisk ramme 2024'!C11+'Fane 2.1. Økonomisk ramme 2024'!C13+'Fane 2.1. Økonomisk ramme 2024'!C15)*(1+'Fane 15. Nøgletal'!C16)</f>
        <v>917059.24701887998</v>
      </c>
      <c r="H54" s="14" t="s">
        <v>3</v>
      </c>
      <c r="I54" s="1"/>
    </row>
    <row r="55" spans="1:9" x14ac:dyDescent="0.25">
      <c r="A55" s="1"/>
      <c r="B55" s="122" t="s">
        <v>218</v>
      </c>
      <c r="C55" s="123"/>
      <c r="D55" s="123"/>
      <c r="E55" s="123"/>
      <c r="F55" s="124"/>
      <c r="G55" s="74">
        <f>(G49+G50-G51)*(1+'Fane 15. Nøgletal'!C44)</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9" t="s">
        <v>258</v>
      </c>
      <c r="C58" s="120"/>
      <c r="D58" s="120"/>
      <c r="E58" s="120"/>
      <c r="F58" s="120"/>
      <c r="G58" s="120"/>
      <c r="H58" s="121"/>
      <c r="I58" s="1"/>
    </row>
    <row r="59" spans="1:9" x14ac:dyDescent="0.25">
      <c r="A59" s="1"/>
      <c r="B59" s="122" t="s">
        <v>219</v>
      </c>
      <c r="C59" s="123"/>
      <c r="D59" s="123"/>
      <c r="E59" s="123"/>
      <c r="F59" s="124"/>
      <c r="G59" s="23">
        <f>(G53+G54-G55)*(1+'Fane 15. Nøgletal'!C16)</f>
        <v>991157.63417800551</v>
      </c>
      <c r="H59" s="14" t="s">
        <v>3</v>
      </c>
      <c r="I59" s="1"/>
    </row>
    <row r="60" spans="1:9" x14ac:dyDescent="0.25">
      <c r="A60" s="1"/>
      <c r="B60" s="122" t="s">
        <v>220</v>
      </c>
      <c r="C60" s="123"/>
      <c r="D60" s="123"/>
      <c r="E60" s="123"/>
      <c r="F60" s="124"/>
      <c r="G60" s="74">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9" t="s">
        <v>141</v>
      </c>
      <c r="C63" s="120"/>
      <c r="D63" s="120"/>
      <c r="E63" s="120"/>
      <c r="F63" s="120"/>
      <c r="G63" s="120"/>
      <c r="H63" s="121"/>
      <c r="I63" s="1"/>
    </row>
    <row r="64" spans="1:9" x14ac:dyDescent="0.25">
      <c r="A64" s="1"/>
      <c r="B64" s="122" t="s">
        <v>221</v>
      </c>
      <c r="C64" s="123"/>
      <c r="D64" s="123"/>
      <c r="E64" s="123"/>
      <c r="F64" s="124"/>
      <c r="G64" s="23">
        <f>(G59-G60)*(1+'Fane 15. Nøgletal'!C16)</f>
        <v>1071243.1710195884</v>
      </c>
      <c r="H64" s="14" t="s">
        <v>3</v>
      </c>
      <c r="I64" s="1"/>
    </row>
    <row r="65" spans="1:9" x14ac:dyDescent="0.25">
      <c r="A65" s="1"/>
      <c r="B65" s="122" t="s">
        <v>222</v>
      </c>
      <c r="C65" s="123"/>
      <c r="D65" s="123"/>
      <c r="E65" s="123"/>
      <c r="F65" s="124"/>
      <c r="G65" s="74">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9" t="s">
        <v>223</v>
      </c>
      <c r="C68" s="120"/>
      <c r="D68" s="120"/>
      <c r="E68" s="120"/>
      <c r="F68" s="120"/>
      <c r="G68" s="120"/>
      <c r="H68" s="121"/>
      <c r="I68" s="1"/>
    </row>
    <row r="69" spans="1:9" x14ac:dyDescent="0.25">
      <c r="A69" s="1"/>
      <c r="B69" s="122" t="s">
        <v>221</v>
      </c>
      <c r="C69" s="123"/>
      <c r="D69" s="123"/>
      <c r="E69" s="123"/>
      <c r="F69" s="124"/>
      <c r="G69" s="23">
        <f>(G64-G65)*(1+'Fane 15. Nøgletal'!C16)</f>
        <v>1157799.619237971</v>
      </c>
      <c r="H69" s="14" t="s">
        <v>3</v>
      </c>
      <c r="I69" s="1"/>
    </row>
    <row r="70" spans="1:9" x14ac:dyDescent="0.25">
      <c r="A70" s="1"/>
      <c r="B70" s="122" t="s">
        <v>222</v>
      </c>
      <c r="C70" s="123"/>
      <c r="D70" s="123"/>
      <c r="E70" s="123"/>
      <c r="F70" s="124"/>
      <c r="G70" s="74">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JIMbXgK/3S5BG/nfr1eJGJ5thgIqwaFzem6R06Qu9VRjCGuvv8fhDi/pl4pOd+PFbxN2qASzrMc0FbzZURBkKg==" saltValue="80cVIARi9p+T4pq807L3T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76</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9" t="s">
        <v>10</v>
      </c>
      <c r="C8" s="120"/>
      <c r="D8" s="120"/>
      <c r="E8" s="120"/>
      <c r="F8" s="120"/>
      <c r="G8" s="121"/>
      <c r="H8" s="1"/>
    </row>
    <row r="9" spans="1:8" x14ac:dyDescent="0.25">
      <c r="A9" s="1"/>
      <c r="B9" s="122" t="s">
        <v>270</v>
      </c>
      <c r="C9" s="123"/>
      <c r="D9" s="123"/>
      <c r="E9" s="123"/>
      <c r="F9" s="124"/>
      <c r="G9" s="22">
        <v>0</v>
      </c>
      <c r="H9" s="1"/>
    </row>
    <row r="10" spans="1:8" x14ac:dyDescent="0.25">
      <c r="A10" s="1"/>
      <c r="B10" s="33"/>
      <c r="C10" s="28"/>
      <c r="D10" s="28"/>
      <c r="E10" s="28"/>
      <c r="F10" s="28"/>
      <c r="G10" s="19"/>
      <c r="H10" s="1"/>
    </row>
    <row r="11" spans="1:8" ht="33" customHeight="1" x14ac:dyDescent="0.25">
      <c r="A11" s="1"/>
      <c r="B11" s="133" t="s">
        <v>264</v>
      </c>
      <c r="C11" s="133"/>
      <c r="D11" s="133"/>
      <c r="E11" s="133"/>
      <c r="F11" s="133"/>
      <c r="G11" s="13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Y0udW8JaQqaLjV4jF1XqUJj8bz173VALOURqv4fm2MBzFbH9y14sRuYWgP9eDHeD1wItpW56F/JpGJ4lyvW5A==" saltValue="6jnvSm5O89fBg3W8BYFKF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2023-11-09T15:29:51Z</dcterms:modified>
</cp:coreProperties>
</file>