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Hjørring Vandselskab AS (V085)\ØR2024\"/>
    </mc:Choice>
  </mc:AlternateContent>
  <xr:revisionPtr revIDLastSave="0" documentId="13_ncr:1_{3AACCE6D-9008-4140-B32A-FC663E68E4AE}"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7" i="22" l="1"/>
  <c r="C17" i="15"/>
  <c r="C29" i="2"/>
  <c r="E23" i="41"/>
  <c r="E31" i="41" l="1"/>
  <c r="E33" i="41" s="1"/>
  <c r="E27" i="41"/>
  <c r="C8" i="2" l="1"/>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<sst xmlns="http://schemas.openxmlformats.org/spreadsheetml/2006/main" count="548" uniqueCount="261">
  <si>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</si>
  <si>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</si>
  <si>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</si>
  <si>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</si>
  <si>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</si>
  <si>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</si>
  <si>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</si>
  <si>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</si>
  <si>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</si>
  <si>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</si>
  <si>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</si>
  <si>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</si>
  <si>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</si>
  <si>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</si>
  <si>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</si>
  <si>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</si>
  <si>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</si>
  <si>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</si>
  <si>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</si>
  <si>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</si>
  <si>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</si>
  <si>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</si>
  <si>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</si>
  <si>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</si>
  <si>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</si>
  <si>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</si>
  <si>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</si>
  <si>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</si>
  <si>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</si>
  <si>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</si>
  <si>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</si>
  <si>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</si>
  <si>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</si>
  <si>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</si>
  <si>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</si>
  <si>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</si>
  <si>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</si>
  <si>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</si>
  <si>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</si>
  <si>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</si>
  <si>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</si>
  <si>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</si>
  <si>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</si>
  <si>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</si>
  <si>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</si>
  <si>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</si>
  <si>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</si>
  <si>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</si>
  <si>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</si>
  <si>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</si>
  <si>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</si>
  <si>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</si>
  <si>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</si>
  <si>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</si>
  <si>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</si>
  <si>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</si>
  <si>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</si>
  <si>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</si>
  <si>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</si>
  <si>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</si>
  <si>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</si>
  <si>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</si>
  <si>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</si>
  <si>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</si>
  <si>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</si>
  <si>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</si>
  <si>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</si>
  <si>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</si>
  <si>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</si>
  <si>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</si>
  <si>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</si>
  <si>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</si>
  <si>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</si>
  <si>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</si>
  <si>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</si>
  <si>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</si>
  <si>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</si>
  <si>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</si>
  <si>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</si>
  <si>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</si>
  <si>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</si>
  <si>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</si>
  <si>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</si>
  <si>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</si>
  <si>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</si>
  <si>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</si>
  <si>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</si>
  <si>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</si>
  <si>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</si>
  <si>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</si>
  <si>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</si>
  <si>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</si>
  <si>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</si>
  <si>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</si>
  <si>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</si>
  <si>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</si>
  <si>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</si>
  <si>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</si>
  <si>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</si>
  <si>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</si>
  <si>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</si>
  <si>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</si>
  <si>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</si>
  <si>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</si>
  <si>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</si>
  <si>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</si>
  <si>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</si>
  <si>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</si>
  <si>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</si>
  <si>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</si>
  <si>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</si>
  <si>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</si>
  <si>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</si>
  <si>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</si>
  <si>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</si>
  <si>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</si>
  <si>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</si>
  <si>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</si>
  <si>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</si>
  <si>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</si>
  <si>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</si>
  <si>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</si>
  <si>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</si>
  <si>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</si>
  <si>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</si>
  <si>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</si>
  <si>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</si>
  <si>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</si>
  <si>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</si>
  <si>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</si>
  <si>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</si>
  <si>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</si>
  <si>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</si>
  <si>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</si>
  <si>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</si>
  <si>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</si>
  <si>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</si>
  <si>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</si>
  <si>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</si>
  <si>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</si>
  <si>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</si>
  <si>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</si>
  <si>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</si>
  <si>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</si>
  <si>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</si>
  <si>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</si>
  <si>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</si>
  <si>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</si>
  <si>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</si>
  <si>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</si>
  <si>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</si>
  <si>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</si>
  <si>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</si>
  <si>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</si>
  <si>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</si>
  <si>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</si>
  <si>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</si>
  <si>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</si>
  <si>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</si>
  <si>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</si>
  <si>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</si>
  <si>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</si>
  <si>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</si>
  <si>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</si>
  <si>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</si>
  <si>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</si>
  <si>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</si>
  <si>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</si>
  <si>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</si>
  <si>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</si>
  <si>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</si>
  <si>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</si>
  <si>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</si>
  <si>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</si>
  <si>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</si>
  <si>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</si>
  <si>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</si>
  <si>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</si>
  <si>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</si>
  <si>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</si>
  <si>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</si>
  <si>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</si>
  <si>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</si>
  <si>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</si>
  <si>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</si>
  <si>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</si>
  <si>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</si>
  <si>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</si>
  <si>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</si>
  <si>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</si>
  <si>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</si>
  <si>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</si>
  <si>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</si>
  <si>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</si>
  <si>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</si>
  <si>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</si>
  <si>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</si>
  <si>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</si>
  <si>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</si>
  <si>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</si>
  <si>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</si>
  <si>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</si>
  <si>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</si>
  <si>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</si>
  <si>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</si>
  <si>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</si>
  <si>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</si>
  <si>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</si>
  <si>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</si>
  <si>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</si>
  <si>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</si>
  <si>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</si>
  <si>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</si>
  <si>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</si>
  <si>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</si>
  <si>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</si>
  <si>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</si>
  <si>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</si>
  <si>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</si>
  <si>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</si>
  <si>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</si>
  <si>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</si>
  <si>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</si>
  <si>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</si>
  <si>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</si>
  <si>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</si>
  <si>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</si>
  <si>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</si>
  <si>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</si>
  <si>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</si>
  <si>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</si>
  <si>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</si>
  <si>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</si>
  <si>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</si>
  <si>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</si>
  <si>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</si>
  <si>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</si>
  <si>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</si>
  <si>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</si>
  <si>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</si>
  <si>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</si>
  <si>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</si>
  <si>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</si>
  <si>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</si>
  <si>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</si>
  <si>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</si>
  <si>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2.1 Udvidelse af forsyningsområde i 2022</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</si>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</sst>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10" fontId="8" fillId="0" borderId="0" xfId="0" applyNumberFormat="1" applyFont="1" applyFill="1" applyBorder="1" applyProtection="1"/>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7" t="s">
        <v>4</v>
      </c>
      <c r="E6" s="87"/>
      <c r="F6" s="87"/>
      <c r="G6" s="87"/>
      <c r="H6" s="3"/>
      <c r="I6" s="1"/>
    </row>
    <row r="7" spans="1:9" ht="15" customHeight="1" x14ac:dyDescent="0.25">
      <c r="A7" s="1"/>
      <c r="B7" s="1"/>
      <c r="C7" s="3"/>
      <c r="D7" s="87"/>
      <c r="E7" s="87"/>
      <c r="F7" s="87"/>
      <c r="G7" s="87"/>
      <c r="H7" s="3"/>
      <c r="I7" s="1"/>
    </row>
    <row r="8" spans="1:9" ht="15.75" x14ac:dyDescent="0.25">
      <c r="A8" s="1"/>
      <c r="B8" s="1"/>
      <c r="C8" s="4"/>
      <c r="D8" s="89" t="s">
        <v>235</v>
      </c>
      <c r="E8" s="89"/>
      <c r="F8" s="89"/>
      <c r="G8" s="89"/>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8" t="s">
        <v>5</v>
      </c>
      <c r="E11" s="88"/>
      <c r="F11" s="88"/>
      <c r="G11" s="88"/>
      <c r="H11" s="5"/>
      <c r="I11" s="1"/>
    </row>
    <row r="12" spans="1:9" x14ac:dyDescent="0.25">
      <c r="A12" s="1"/>
      <c r="B12" s="1"/>
      <c r="C12" s="1"/>
      <c r="D12" s="1"/>
      <c r="E12" s="1"/>
      <c r="F12" s="1"/>
      <c r="G12" s="1"/>
      <c r="H12" s="1"/>
      <c r="I12" s="1"/>
    </row>
    <row r="13" spans="1:9" x14ac:dyDescent="0.25">
      <c r="A13" s="1"/>
      <c r="B13" s="1"/>
      <c r="C13" s="6" t="s">
        <v>6</v>
      </c>
      <c r="D13" s="84" t="s">
        <v>162</v>
      </c>
      <c r="E13" s="85"/>
      <c r="F13" s="85"/>
      <c r="G13" s="86"/>
      <c r="H13" s="1"/>
      <c r="I13" s="1"/>
    </row>
    <row r="14" spans="1:9" x14ac:dyDescent="0.25">
      <c r="A14" s="1"/>
      <c r="B14" s="1"/>
      <c r="C14" s="6" t="s">
        <v>14</v>
      </c>
      <c r="D14" s="84" t="s">
        <v>197</v>
      </c>
      <c r="E14" s="85"/>
      <c r="F14" s="85"/>
      <c r="G14" s="86"/>
      <c r="H14" s="1"/>
      <c r="I14" s="1"/>
    </row>
    <row r="15" spans="1:9" x14ac:dyDescent="0.25">
      <c r="A15" s="1"/>
      <c r="B15" s="1"/>
      <c r="C15" s="6" t="s">
        <v>30</v>
      </c>
      <c r="D15" s="84" t="s">
        <v>141</v>
      </c>
      <c r="E15" s="85"/>
      <c r="F15" s="85"/>
      <c r="G15" s="86"/>
      <c r="H15" s="1"/>
      <c r="I15" s="1"/>
    </row>
    <row r="16" spans="1:9" x14ac:dyDescent="0.25">
      <c r="A16" s="1"/>
      <c r="B16" s="1"/>
      <c r="C16" s="6" t="s">
        <v>31</v>
      </c>
      <c r="D16" s="84" t="s">
        <v>194</v>
      </c>
      <c r="E16" s="85"/>
      <c r="F16" s="85"/>
      <c r="G16" s="86"/>
      <c r="H16" s="1"/>
      <c r="I16" s="1"/>
    </row>
    <row r="17" spans="1:9" x14ac:dyDescent="0.25">
      <c r="A17" s="1"/>
      <c r="B17" s="1"/>
      <c r="C17" s="6" t="s">
        <v>102</v>
      </c>
      <c r="D17" s="84" t="s">
        <v>195</v>
      </c>
      <c r="E17" s="85"/>
      <c r="F17" s="85"/>
      <c r="G17" s="86"/>
      <c r="H17" s="1"/>
      <c r="I17" s="1"/>
    </row>
    <row r="18" spans="1:9" x14ac:dyDescent="0.25">
      <c r="A18" s="1"/>
      <c r="B18" s="1"/>
      <c r="C18" s="6" t="s">
        <v>86</v>
      </c>
      <c r="D18" s="90" t="s">
        <v>79</v>
      </c>
      <c r="E18" s="91"/>
      <c r="F18" s="91"/>
      <c r="G18" s="92"/>
      <c r="H18" s="1"/>
      <c r="I18" s="1"/>
    </row>
    <row r="19" spans="1:9" x14ac:dyDescent="0.25">
      <c r="A19" s="1"/>
      <c r="B19" s="1"/>
      <c r="C19" s="6" t="s">
        <v>87</v>
      </c>
      <c r="D19" s="90" t="s">
        <v>80</v>
      </c>
      <c r="E19" s="91"/>
      <c r="F19" s="91"/>
      <c r="G19" s="92"/>
      <c r="H19" s="1"/>
      <c r="I19" s="1"/>
    </row>
    <row r="20" spans="1:9" x14ac:dyDescent="0.25">
      <c r="A20" s="1"/>
      <c r="B20" s="1"/>
      <c r="C20" s="6" t="s">
        <v>7</v>
      </c>
      <c r="D20" s="90" t="s">
        <v>9</v>
      </c>
      <c r="E20" s="91"/>
      <c r="F20" s="91"/>
      <c r="G20" s="92"/>
      <c r="H20" s="1"/>
      <c r="I20" s="1"/>
    </row>
    <row r="21" spans="1:9" x14ac:dyDescent="0.25">
      <c r="A21" s="1"/>
      <c r="B21" s="1"/>
      <c r="C21" s="6" t="s">
        <v>88</v>
      </c>
      <c r="D21" s="81" t="s">
        <v>11</v>
      </c>
      <c r="E21" s="82"/>
      <c r="F21" s="82"/>
      <c r="G21" s="83"/>
      <c r="H21" s="1"/>
      <c r="I21" s="1"/>
    </row>
    <row r="22" spans="1:9" x14ac:dyDescent="0.25">
      <c r="A22" s="1"/>
      <c r="B22" s="1"/>
      <c r="C22" s="6" t="s">
        <v>73</v>
      </c>
      <c r="D22" s="75" t="s">
        <v>196</v>
      </c>
      <c r="E22" s="76"/>
      <c r="F22" s="76"/>
      <c r="G22" s="77"/>
      <c r="H22" s="1"/>
      <c r="I22" s="1"/>
    </row>
    <row r="23" spans="1:9" x14ac:dyDescent="0.25">
      <c r="A23" s="1"/>
      <c r="B23" s="1"/>
      <c r="C23" s="6" t="s">
        <v>8</v>
      </c>
      <c r="D23" s="75" t="s">
        <v>176</v>
      </c>
      <c r="E23" s="76"/>
      <c r="F23" s="76"/>
      <c r="G23" s="77"/>
      <c r="H23" s="1"/>
      <c r="I23" s="1"/>
    </row>
    <row r="24" spans="1:9" x14ac:dyDescent="0.25">
      <c r="A24" s="1"/>
      <c r="B24" s="1"/>
      <c r="C24" s="6" t="s">
        <v>172</v>
      </c>
      <c r="D24" s="75" t="s">
        <v>163</v>
      </c>
      <c r="E24" s="76"/>
      <c r="F24" s="76"/>
      <c r="G24" s="77"/>
      <c r="H24" s="1"/>
      <c r="I24" s="1"/>
    </row>
    <row r="25" spans="1:9" x14ac:dyDescent="0.25">
      <c r="A25" s="1"/>
      <c r="B25" s="1"/>
      <c r="C25" s="6" t="s">
        <v>173</v>
      </c>
      <c r="D25" s="75" t="s">
        <v>74</v>
      </c>
      <c r="E25" s="76"/>
      <c r="F25" s="76"/>
      <c r="G25" s="77"/>
      <c r="H25" s="1"/>
      <c r="I25" s="1"/>
    </row>
    <row r="26" spans="1:9" x14ac:dyDescent="0.25">
      <c r="A26" s="1"/>
      <c r="B26" s="1"/>
      <c r="C26" s="6" t="s">
        <v>174</v>
      </c>
      <c r="D26" s="75" t="s">
        <v>75</v>
      </c>
      <c r="E26" s="76"/>
      <c r="F26" s="76"/>
      <c r="G26" s="77"/>
      <c r="H26" s="1"/>
      <c r="I26" s="1"/>
    </row>
    <row r="27" spans="1:9" x14ac:dyDescent="0.25">
      <c r="A27" s="1"/>
      <c r="B27" s="1"/>
      <c r="C27" s="6" t="s">
        <v>89</v>
      </c>
      <c r="D27" s="75" t="s">
        <v>103</v>
      </c>
      <c r="E27" s="76"/>
      <c r="F27" s="76"/>
      <c r="G27" s="77"/>
      <c r="H27" s="1"/>
      <c r="I27" s="1"/>
    </row>
    <row r="28" spans="1:9" x14ac:dyDescent="0.25">
      <c r="A28" s="1"/>
      <c r="B28" s="1"/>
      <c r="C28" s="6" t="s">
        <v>83</v>
      </c>
      <c r="D28" s="75" t="s">
        <v>32</v>
      </c>
      <c r="E28" s="76"/>
      <c r="F28" s="76"/>
      <c r="G28" s="77"/>
      <c r="H28" s="1"/>
      <c r="I28" s="1"/>
    </row>
    <row r="29" spans="1:9" x14ac:dyDescent="0.25">
      <c r="A29" s="1"/>
      <c r="B29" s="1"/>
      <c r="C29" s="6" t="s">
        <v>175</v>
      </c>
      <c r="D29" s="78" t="s">
        <v>84</v>
      </c>
      <c r="E29" s="79"/>
      <c r="F29" s="79"/>
      <c r="G29" s="80"/>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YE1l4X2kxDGyqi+JPuT+8mLyPQrm7z91BuETRi/hnFtxSZxm21+gk5AY6vUYhW7gOeeIFupOMsJuV6QHoWhgSA==" saltValue="GOkIYGvBx2drBMOTYalQzA=="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3" t="s">
        <v>92</v>
      </c>
      <c r="C3" s="93"/>
      <c r="D3" s="93"/>
      <c r="E3" s="1"/>
      <c r="F3" s="1"/>
    </row>
    <row r="4" spans="1:6" ht="15" customHeight="1" x14ac:dyDescent="0.25">
      <c r="A4" s="1"/>
      <c r="B4" s="93"/>
      <c r="C4" s="93"/>
      <c r="D4" s="9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7" t="s">
        <v>226</v>
      </c>
      <c r="C8" s="98"/>
      <c r="D8" s="99"/>
      <c r="E8" s="1"/>
      <c r="F8" s="1"/>
    </row>
    <row r="9" spans="1:6" ht="15" customHeight="1" x14ac:dyDescent="0.25">
      <c r="A9" s="1"/>
      <c r="B9" s="32" t="s">
        <v>28</v>
      </c>
      <c r="C9" s="11" t="s">
        <v>212</v>
      </c>
      <c r="D9" s="11"/>
      <c r="E9" s="1"/>
      <c r="F9" s="1"/>
    </row>
    <row r="10" spans="1:6" ht="15" customHeight="1" x14ac:dyDescent="0.25">
      <c r="A10" s="1"/>
      <c r="B10" s="64" t="s">
        <v>243</v>
      </c>
      <c r="C10" s="9">
        <v>20441824</v>
      </c>
      <c r="D10" s="14" t="s">
        <v>3</v>
      </c>
      <c r="E10" s="1"/>
      <c r="F10" s="1"/>
    </row>
    <row r="11" spans="1:6" x14ac:dyDescent="0.25">
      <c r="A11" s="1"/>
      <c r="B11" s="64" t="s">
        <v>244</v>
      </c>
      <c r="C11" s="9">
        <v>107577</v>
      </c>
      <c r="D11" s="14" t="s">
        <v>3</v>
      </c>
      <c r="E11" s="1"/>
      <c r="F11" s="1"/>
    </row>
    <row r="12" spans="1:6" x14ac:dyDescent="0.25">
      <c r="A12" s="1"/>
      <c r="B12" s="64" t="s">
        <v>245</v>
      </c>
      <c r="C12" s="9">
        <v>133424</v>
      </c>
      <c r="D12" s="14" t="s">
        <v>3</v>
      </c>
      <c r="E12" s="1"/>
      <c r="F12" s="1"/>
    </row>
    <row r="13" spans="1:6" x14ac:dyDescent="0.25">
      <c r="A13" s="1"/>
      <c r="B13" s="64"/>
      <c r="C13" s="9"/>
      <c r="D13" s="14" t="s">
        <v>3</v>
      </c>
      <c r="E13" s="1"/>
      <c r="F13" s="1"/>
    </row>
    <row r="14" spans="1:6" x14ac:dyDescent="0.25">
      <c r="A14" s="1"/>
      <c r="B14" s="64"/>
      <c r="C14" s="9"/>
      <c r="D14" s="14" t="s">
        <v>3</v>
      </c>
      <c r="E14" s="1"/>
      <c r="F14" s="1"/>
    </row>
    <row r="15" spans="1:6" x14ac:dyDescent="0.25">
      <c r="A15" s="1"/>
      <c r="B15" s="64"/>
      <c r="C15" s="9"/>
      <c r="D15" s="14" t="s">
        <v>3</v>
      </c>
      <c r="E15" s="1"/>
      <c r="F15" s="1"/>
    </row>
    <row r="16" spans="1:6" x14ac:dyDescent="0.25">
      <c r="A16" s="1"/>
      <c r="B16" s="64"/>
      <c r="C16" s="9"/>
      <c r="D16" s="14" t="s">
        <v>3</v>
      </c>
      <c r="E16" s="1"/>
      <c r="F16" s="1"/>
    </row>
    <row r="17" spans="1:6" x14ac:dyDescent="0.25">
      <c r="A17" s="1"/>
      <c r="B17" s="64"/>
      <c r="C17" s="9"/>
      <c r="D17" s="14" t="s">
        <v>3</v>
      </c>
      <c r="E17" s="1"/>
      <c r="F17" s="1"/>
    </row>
    <row r="18" spans="1:6" x14ac:dyDescent="0.25">
      <c r="A18" s="1"/>
      <c r="B18" s="64"/>
      <c r="C18" s="9"/>
      <c r="D18" s="14" t="s">
        <v>3</v>
      </c>
      <c r="E18" s="1"/>
      <c r="F18" s="1"/>
    </row>
    <row r="19" spans="1:6" x14ac:dyDescent="0.25">
      <c r="A19" s="1"/>
      <c r="B19" s="51" t="s">
        <v>213</v>
      </c>
      <c r="C19" s="12">
        <f>SUM(C10:C18)</f>
        <v>20682825</v>
      </c>
      <c r="D19" s="13" t="s">
        <v>3</v>
      </c>
      <c r="E19" s="1"/>
      <c r="F19" s="1"/>
    </row>
    <row r="20" spans="1:6" x14ac:dyDescent="0.25">
      <c r="A20" s="1"/>
      <c r="B20" s="51" t="s">
        <v>214</v>
      </c>
      <c r="C20" s="12">
        <f>C19*(1+'Fane 13. Nøgletal'!C16)^2</f>
        <v>24160200.238607999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6/4KoPuHQF1HiHPzZrTFLHEANHeEYfmvzZh3/C8SspDZotJybBr3/duk98n4ZIWi1kRXu7r8qF/T48Shbjv6fw==" saltValue="7Y6PWLjnF3k1q0/dhYWiz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6" t="s">
        <v>227</v>
      </c>
      <c r="C3" s="96"/>
      <c r="D3" s="96"/>
      <c r="E3" s="96"/>
      <c r="F3" s="96"/>
      <c r="G3" s="1"/>
    </row>
    <row r="4" spans="1:7" ht="15" customHeight="1" x14ac:dyDescent="0.25">
      <c r="A4" s="1"/>
      <c r="B4" s="96"/>
      <c r="C4" s="96"/>
      <c r="D4" s="96"/>
      <c r="E4" s="96"/>
      <c r="F4" s="96"/>
      <c r="G4" s="1"/>
    </row>
    <row r="5" spans="1:7" ht="15" customHeight="1" x14ac:dyDescent="0.25">
      <c r="A5" s="1"/>
      <c r="B5" s="60"/>
      <c r="C5" s="60"/>
      <c r="D5" s="60"/>
      <c r="E5" s="60"/>
      <c r="F5" s="60"/>
      <c r="G5" s="1"/>
    </row>
    <row r="6" spans="1:7" ht="15" customHeight="1" x14ac:dyDescent="0.25">
      <c r="A6" s="1"/>
      <c r="B6" s="60"/>
      <c r="C6" s="60"/>
      <c r="D6" s="60"/>
      <c r="E6" s="60"/>
      <c r="F6" s="60"/>
      <c r="G6" s="1"/>
    </row>
    <row r="7" spans="1:7" x14ac:dyDescent="0.25">
      <c r="A7" s="1"/>
      <c r="B7" s="1"/>
      <c r="C7" s="1"/>
      <c r="D7" s="1"/>
      <c r="E7" s="1"/>
      <c r="F7" s="1"/>
      <c r="G7" s="1"/>
    </row>
    <row r="8" spans="1:7" x14ac:dyDescent="0.25">
      <c r="A8" s="1"/>
      <c r="B8" s="97" t="s">
        <v>248</v>
      </c>
      <c r="C8" s="98"/>
      <c r="D8" s="98"/>
      <c r="E8" s="98"/>
      <c r="F8" s="99"/>
      <c r="G8" s="1"/>
    </row>
    <row r="9" spans="1:7" x14ac:dyDescent="0.25">
      <c r="A9" s="1"/>
      <c r="B9" s="100" t="s">
        <v>249</v>
      </c>
      <c r="C9" s="101"/>
      <c r="D9" s="102"/>
      <c r="E9" s="28">
        <v>-493849.93492746353</v>
      </c>
      <c r="F9" s="14" t="s">
        <v>3</v>
      </c>
      <c r="G9" s="1"/>
    </row>
    <row r="10" spans="1:7" x14ac:dyDescent="0.25">
      <c r="A10" s="1"/>
      <c r="B10" s="51"/>
      <c r="C10" s="52"/>
      <c r="D10" s="52"/>
      <c r="E10" s="52"/>
      <c r="F10" s="19"/>
      <c r="G10" s="1"/>
    </row>
    <row r="11" spans="1:7" ht="58.5" customHeight="1" x14ac:dyDescent="0.25">
      <c r="A11" s="1"/>
      <c r="B11" s="115" t="s">
        <v>250</v>
      </c>
      <c r="C11" s="116"/>
      <c r="D11" s="116"/>
      <c r="E11" s="116"/>
      <c r="F11" s="117"/>
      <c r="G11" s="1"/>
    </row>
    <row r="12" spans="1:7" x14ac:dyDescent="0.25">
      <c r="A12" s="1"/>
      <c r="B12" s="1"/>
      <c r="C12" s="1"/>
      <c r="D12" s="1"/>
      <c r="E12" s="1"/>
      <c r="F12" s="1"/>
      <c r="G12" s="1"/>
    </row>
    <row r="13" spans="1:7" x14ac:dyDescent="0.25">
      <c r="A13" s="1"/>
      <c r="B13" s="97" t="s">
        <v>140</v>
      </c>
      <c r="C13" s="98"/>
      <c r="D13" s="98"/>
      <c r="E13" s="98"/>
      <c r="F13" s="99"/>
      <c r="G13" s="1"/>
    </row>
    <row r="14" spans="1:7" x14ac:dyDescent="0.25">
      <c r="A14" s="1"/>
      <c r="B14" s="100" t="s">
        <v>251</v>
      </c>
      <c r="C14" s="101"/>
      <c r="D14" s="102"/>
      <c r="E14" s="9">
        <v>-246924.96746373177</v>
      </c>
      <c r="F14" s="14" t="s">
        <v>3</v>
      </c>
      <c r="G14" s="1"/>
    </row>
    <row r="15" spans="1:7" x14ac:dyDescent="0.25">
      <c r="A15" s="1"/>
      <c r="B15" s="100" t="s">
        <v>252</v>
      </c>
      <c r="C15" s="101"/>
      <c r="D15" s="102"/>
      <c r="E15" s="9">
        <v>-246924.96746373177</v>
      </c>
      <c r="F15" s="14" t="s">
        <v>3</v>
      </c>
      <c r="G15" s="1"/>
    </row>
    <row r="16" spans="1:7" x14ac:dyDescent="0.25">
      <c r="A16" s="1"/>
      <c r="B16" s="51"/>
      <c r="C16" s="52"/>
      <c r="D16" s="52"/>
      <c r="E16" s="52"/>
      <c r="F16" s="19"/>
      <c r="G16" s="1"/>
    </row>
    <row r="17" spans="1:7" ht="29.45" customHeight="1" x14ac:dyDescent="0.25">
      <c r="A17" s="1"/>
      <c r="B17" s="115" t="s">
        <v>253</v>
      </c>
      <c r="C17" s="116"/>
      <c r="D17" s="116"/>
      <c r="E17" s="116"/>
      <c r="F17" s="117"/>
      <c r="G17" s="1"/>
    </row>
    <row r="18" spans="1:7" x14ac:dyDescent="0.25">
      <c r="A18" s="1"/>
      <c r="B18" s="1"/>
      <c r="C18" s="1"/>
      <c r="D18" s="1"/>
      <c r="E18" s="1"/>
      <c r="F18" s="1"/>
      <c r="G18" s="1"/>
    </row>
    <row r="19" spans="1:7" x14ac:dyDescent="0.25">
      <c r="A19" s="1"/>
      <c r="B19" s="65" t="s">
        <v>254</v>
      </c>
      <c r="C19" s="66"/>
      <c r="D19" s="66"/>
      <c r="E19" s="66"/>
      <c r="F19" s="67"/>
      <c r="G19" s="1"/>
    </row>
    <row r="20" spans="1:7" x14ac:dyDescent="0.25">
      <c r="A20" s="1"/>
      <c r="B20" s="61" t="s">
        <v>255</v>
      </c>
      <c r="C20" s="62"/>
      <c r="D20" s="63"/>
      <c r="E20" s="9">
        <v>55036355.517580107</v>
      </c>
      <c r="F20" s="14" t="s">
        <v>3</v>
      </c>
      <c r="G20" s="1"/>
    </row>
    <row r="21" spans="1:7" x14ac:dyDescent="0.25">
      <c r="A21" s="1"/>
      <c r="B21" s="61" t="s">
        <v>256</v>
      </c>
      <c r="C21" s="62"/>
      <c r="D21" s="63"/>
      <c r="E21" s="9">
        <v>57478873</v>
      </c>
      <c r="F21" s="14" t="s">
        <v>3</v>
      </c>
      <c r="G21" s="1"/>
    </row>
    <row r="22" spans="1:7" x14ac:dyDescent="0.25">
      <c r="A22" s="1"/>
      <c r="B22" s="61" t="s">
        <v>29</v>
      </c>
      <c r="C22" s="62"/>
      <c r="D22" s="63"/>
      <c r="E22" s="9">
        <v>35000</v>
      </c>
      <c r="F22" s="14" t="s">
        <v>3</v>
      </c>
      <c r="G22" s="1"/>
    </row>
    <row r="23" spans="1:7" x14ac:dyDescent="0.25">
      <c r="A23" s="1"/>
      <c r="B23" s="69" t="s">
        <v>257</v>
      </c>
      <c r="C23" s="70"/>
      <c r="D23" s="71"/>
      <c r="E23" s="10">
        <f>E20-(E21-E22)</f>
        <v>-2407517.4824198931</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97" t="s">
        <v>258</v>
      </c>
      <c r="C26" s="98"/>
      <c r="D26" s="98"/>
      <c r="E26" s="98"/>
      <c r="F26" s="99"/>
      <c r="G26" s="1"/>
    </row>
    <row r="27" spans="1:7" x14ac:dyDescent="0.25">
      <c r="A27" s="1"/>
      <c r="B27" s="122" t="s">
        <v>259</v>
      </c>
      <c r="C27" s="123"/>
      <c r="D27" s="124"/>
      <c r="E27" s="58">
        <f>IF(AND(E15&lt;0,E23&gt;0,ABS(SUM(E14:E15))&lt;E23),ABS(E14),IF(AND(E15&lt;0,E23&gt;0,ABS(SUM(E14:E15))&gt;E23),SUM(E14,E23),0))</f>
        <v>0</v>
      </c>
      <c r="F27" s="17" t="s">
        <v>3</v>
      </c>
      <c r="G27" s="1"/>
    </row>
    <row r="28" spans="1:7" x14ac:dyDescent="0.25">
      <c r="A28" s="1"/>
      <c r="B28" s="97"/>
      <c r="C28" s="98"/>
      <c r="D28" s="98"/>
      <c r="E28" s="98"/>
      <c r="F28" s="99"/>
      <c r="G28" s="1"/>
    </row>
    <row r="29" spans="1:7" x14ac:dyDescent="0.25">
      <c r="A29" s="1"/>
      <c r="B29" s="1"/>
      <c r="C29" s="1"/>
      <c r="D29" s="1"/>
      <c r="E29" s="1"/>
      <c r="F29" s="1"/>
      <c r="G29" s="1"/>
    </row>
    <row r="30" spans="1:7" x14ac:dyDescent="0.25">
      <c r="A30" s="1"/>
      <c r="B30" s="97" t="s">
        <v>260</v>
      </c>
      <c r="C30" s="98"/>
      <c r="D30" s="98"/>
      <c r="E30" s="98"/>
      <c r="F30" s="99"/>
      <c r="G30" s="1"/>
    </row>
    <row r="31" spans="1:7" x14ac:dyDescent="0.25">
      <c r="A31" s="1"/>
      <c r="B31" s="125" t="s">
        <v>117</v>
      </c>
      <c r="C31" s="126"/>
      <c r="D31" s="127"/>
      <c r="E31" s="59">
        <f>IF(AND(E9&gt;0,(E9+E23)&gt;0),0,IF(AND(E9&gt;0,(E9+E23)&lt;0),(E9+E23),IF(AND(E9&lt;0,E23&lt;0),E23,0)))</f>
        <v>-2407517.4824198931</v>
      </c>
      <c r="F31" s="14" t="s">
        <v>3</v>
      </c>
      <c r="G31" s="1"/>
    </row>
    <row r="32" spans="1:7" x14ac:dyDescent="0.25">
      <c r="A32" s="1"/>
      <c r="B32" s="125" t="s">
        <v>85</v>
      </c>
      <c r="C32" s="126"/>
      <c r="D32" s="127"/>
      <c r="E32" s="9">
        <v>2</v>
      </c>
      <c r="F32" s="14" t="s">
        <v>18</v>
      </c>
      <c r="G32" s="1"/>
    </row>
    <row r="33" spans="1:7" x14ac:dyDescent="0.25">
      <c r="A33" s="1"/>
      <c r="B33" s="118" t="s">
        <v>116</v>
      </c>
      <c r="C33" s="118"/>
      <c r="D33" s="118"/>
      <c r="E33" s="58">
        <f>E31/E32</f>
        <v>-1203758.7412099466</v>
      </c>
      <c r="F33" s="17" t="s">
        <v>3</v>
      </c>
      <c r="G33" s="1"/>
    </row>
    <row r="34" spans="1:7" x14ac:dyDescent="0.25">
      <c r="A34" s="1"/>
      <c r="B34" s="119"/>
      <c r="C34" s="120"/>
      <c r="D34" s="120"/>
      <c r="E34" s="120"/>
      <c r="F34" s="12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Z1Orx6nlDf112pzdfqzpSWeTnLtfpsIbQs5i2Nr/FPHnwrTBJlty1BlpKhPqE96abk75Yg09Yn0ORevkIQfKTw==" saltValue="DnVayVOha9yV3z6UpA6mTw=="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3" t="s">
        <v>183</v>
      </c>
      <c r="C3" s="93"/>
      <c r="D3" s="93"/>
      <c r="E3" s="93"/>
      <c r="F3" s="93"/>
      <c r="G3" s="93"/>
      <c r="H3" s="93"/>
      <c r="I3" s="1"/>
    </row>
    <row r="4" spans="1:9" ht="15" customHeight="1" x14ac:dyDescent="0.25">
      <c r="A4" s="1"/>
      <c r="B4" s="93"/>
      <c r="C4" s="93"/>
      <c r="D4" s="93"/>
      <c r="E4" s="93"/>
      <c r="F4" s="93"/>
      <c r="G4" s="93"/>
      <c r="H4" s="9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7" t="s">
        <v>184</v>
      </c>
      <c r="C8" s="98"/>
      <c r="D8" s="98"/>
      <c r="E8" s="98"/>
      <c r="F8" s="98"/>
      <c r="G8" s="98"/>
      <c r="H8" s="99"/>
      <c r="I8" s="1"/>
    </row>
    <row r="9" spans="1:9" ht="15" customHeight="1" x14ac:dyDescent="0.25">
      <c r="A9" s="1"/>
      <c r="B9" s="128" t="s">
        <v>234</v>
      </c>
      <c r="C9" s="129"/>
      <c r="D9" s="129"/>
      <c r="E9" s="129"/>
      <c r="F9" s="129"/>
      <c r="G9" s="129"/>
      <c r="H9" s="130"/>
      <c r="I9" s="1"/>
    </row>
    <row r="10" spans="1:9" x14ac:dyDescent="0.25">
      <c r="A10" s="1"/>
      <c r="B10" s="131" t="s">
        <v>185</v>
      </c>
      <c r="C10" s="132"/>
      <c r="D10" s="132"/>
      <c r="E10" s="132"/>
      <c r="F10" s="133"/>
      <c r="G10" s="45">
        <v>-870282</v>
      </c>
      <c r="H10" s="9" t="s">
        <v>3</v>
      </c>
      <c r="I10" s="1"/>
    </row>
    <row r="11" spans="1:9" x14ac:dyDescent="0.25">
      <c r="A11" s="1"/>
      <c r="B11" s="131" t="s">
        <v>186</v>
      </c>
      <c r="C11" s="132"/>
      <c r="D11" s="132"/>
      <c r="E11" s="132"/>
      <c r="F11" s="133"/>
      <c r="G11" s="45">
        <v>-870282</v>
      </c>
      <c r="H11" s="9" t="s">
        <v>3</v>
      </c>
      <c r="I11" s="1"/>
    </row>
    <row r="12" spans="1:9" x14ac:dyDescent="0.25">
      <c r="A12" s="1"/>
      <c r="B12" s="131" t="s">
        <v>187</v>
      </c>
      <c r="C12" s="132"/>
      <c r="D12" s="132"/>
      <c r="E12" s="132"/>
      <c r="F12" s="133"/>
      <c r="G12" s="45">
        <v>-870282</v>
      </c>
      <c r="H12" s="9" t="s">
        <v>3</v>
      </c>
      <c r="I12" s="1"/>
    </row>
    <row r="13" spans="1:9" x14ac:dyDescent="0.25">
      <c r="A13" s="1"/>
      <c r="B13" s="131" t="s">
        <v>188</v>
      </c>
      <c r="C13" s="132"/>
      <c r="D13" s="132"/>
      <c r="E13" s="132"/>
      <c r="F13" s="133"/>
      <c r="G13" s="45">
        <v>-870282</v>
      </c>
      <c r="H13" s="9" t="s">
        <v>3</v>
      </c>
      <c r="I13" s="1"/>
    </row>
    <row r="14" spans="1:9" x14ac:dyDescent="0.25">
      <c r="A14" s="1"/>
      <c r="B14" s="131" t="s">
        <v>189</v>
      </c>
      <c r="C14" s="132"/>
      <c r="D14" s="132"/>
      <c r="E14" s="132"/>
      <c r="F14" s="133"/>
      <c r="G14" s="45">
        <v>-870282</v>
      </c>
      <c r="H14" s="9" t="s">
        <v>3</v>
      </c>
      <c r="I14" s="1"/>
    </row>
    <row r="15" spans="1:9" x14ac:dyDescent="0.25">
      <c r="A15" s="1"/>
      <c r="B15" s="131" t="s">
        <v>190</v>
      </c>
      <c r="C15" s="132"/>
      <c r="D15" s="132"/>
      <c r="E15" s="132"/>
      <c r="F15" s="133"/>
      <c r="G15" s="45">
        <v>-870282</v>
      </c>
      <c r="H15" s="9" t="s">
        <v>3</v>
      </c>
      <c r="I15" s="1"/>
    </row>
    <row r="16" spans="1:9" x14ac:dyDescent="0.25">
      <c r="A16" s="1"/>
      <c r="B16" s="131" t="s">
        <v>191</v>
      </c>
      <c r="C16" s="132"/>
      <c r="D16" s="132"/>
      <c r="E16" s="132"/>
      <c r="F16" s="133"/>
      <c r="G16" s="9">
        <v>0</v>
      </c>
      <c r="H16" s="9" t="s">
        <v>3</v>
      </c>
      <c r="I16" s="1"/>
    </row>
    <row r="17" spans="1:9" x14ac:dyDescent="0.25">
      <c r="A17" s="1"/>
      <c r="B17" s="131" t="s">
        <v>192</v>
      </c>
      <c r="C17" s="132"/>
      <c r="D17" s="132"/>
      <c r="E17" s="132"/>
      <c r="F17" s="133"/>
      <c r="G17" s="9">
        <v>0</v>
      </c>
      <c r="H17" s="9" t="s">
        <v>3</v>
      </c>
      <c r="I17" s="1"/>
    </row>
    <row r="18" spans="1:9" x14ac:dyDescent="0.25">
      <c r="A18" s="1"/>
      <c r="B18" s="97" t="s">
        <v>193</v>
      </c>
      <c r="C18" s="98"/>
      <c r="D18" s="98"/>
      <c r="E18" s="98"/>
      <c r="F18" s="99"/>
      <c r="G18" s="12">
        <f>SUM(G10:G17)</f>
        <v>-5221692</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5ePTcRt6FJRf+wOFMYXaJgEWp2eyErPSw1nKPVh3WQ3LjBjhkIZdRUN3fN696qblKjs9rXkGaJk/u6QSTFESWw==" saltValue="KZHpttclLVsWzFJ+SBCdD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3" t="s">
        <v>177</v>
      </c>
      <c r="C3" s="93"/>
      <c r="D3" s="93"/>
      <c r="E3" s="93"/>
      <c r="F3" s="93"/>
      <c r="G3" s="93"/>
      <c r="H3" s="93"/>
      <c r="I3" s="93"/>
      <c r="J3" s="93"/>
      <c r="K3" s="93"/>
      <c r="L3" s="1"/>
    </row>
    <row r="4" spans="1:12" ht="15" customHeight="1" x14ac:dyDescent="0.25">
      <c r="A4" s="1"/>
      <c r="B4" s="93"/>
      <c r="C4" s="93"/>
      <c r="D4" s="93"/>
      <c r="E4" s="93"/>
      <c r="F4" s="93"/>
      <c r="G4" s="93"/>
      <c r="H4" s="93"/>
      <c r="I4" s="93"/>
      <c r="J4" s="93"/>
      <c r="K4" s="9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7" t="s">
        <v>155</v>
      </c>
      <c r="C8" s="98"/>
      <c r="D8" s="98"/>
      <c r="E8" s="98"/>
      <c r="F8" s="98"/>
      <c r="G8" s="98"/>
      <c r="H8" s="98"/>
      <c r="I8" s="98"/>
      <c r="J8" s="98"/>
      <c r="K8" s="99"/>
      <c r="L8" s="1"/>
    </row>
    <row r="9" spans="1:12" ht="39.75" customHeight="1" x14ac:dyDescent="0.25">
      <c r="A9" s="1"/>
      <c r="B9" s="18" t="s">
        <v>0</v>
      </c>
      <c r="C9" s="18" t="s">
        <v>1</v>
      </c>
      <c r="D9" s="134" t="s">
        <v>170</v>
      </c>
      <c r="E9" s="135"/>
      <c r="F9" s="134" t="s">
        <v>2</v>
      </c>
      <c r="G9" s="135"/>
      <c r="H9" s="134" t="s">
        <v>171</v>
      </c>
      <c r="I9" s="135"/>
      <c r="J9" s="134" t="s">
        <v>26</v>
      </c>
      <c r="K9" s="135"/>
      <c r="L9" s="1"/>
    </row>
    <row r="10" spans="1:12" x14ac:dyDescent="0.25">
      <c r="A10" s="1"/>
      <c r="B10" s="74"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67"/>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ykNGN05fqFt3Vp9p/1Gj+uGAlssVdEcvW1VP0qYdbFLcC7CJHqCwo7gDuqw4a5nYLPK4V7ENOy0JKdOS019nCQ==" saltValue="T9qbrjK2buS5+EvwdQSbZ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178</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2" t="s">
        <v>15</v>
      </c>
      <c r="C9" s="72" t="s">
        <v>10</v>
      </c>
      <c r="D9" s="73"/>
      <c r="E9" s="72"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246</v>
      </c>
      <c r="C11" s="21">
        <v>161666</v>
      </c>
      <c r="D11" s="14" t="s">
        <v>3</v>
      </c>
      <c r="E11" s="9">
        <v>70200</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161666</v>
      </c>
      <c r="D17" s="13" t="s">
        <v>3</v>
      </c>
      <c r="E17" s="12">
        <f>SUM(E10:E16)</f>
        <v>70200</v>
      </c>
      <c r="F17" s="13" t="s">
        <v>3</v>
      </c>
      <c r="G17" s="1"/>
    </row>
    <row r="18" spans="1:7" x14ac:dyDescent="0.25">
      <c r="A18" s="1"/>
      <c r="B18" s="51" t="s">
        <v>209</v>
      </c>
      <c r="C18" s="12">
        <f>C17*(1+'Fane 13. Nøgletal'!C16)</f>
        <v>174728.6128</v>
      </c>
      <c r="D18" s="13" t="s">
        <v>3</v>
      </c>
      <c r="E18" s="12">
        <f>E17*(1+'Fane 13. Nøgletal'!C16)</f>
        <v>75872.160000000003</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pjwhsHUbIrUhjXYCjexDsgYKf7lcYHEnrcGr5CdOqHfUHaamrGD7ylPJEH0Ldzf/P9A2XGcbnEg1OySwv5OE5Q==" saltValue="oPrwjs/cbfktR5ldmA6Gh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179</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97" t="s">
        <v>217</v>
      </c>
      <c r="C9" s="98"/>
      <c r="D9" s="98"/>
      <c r="E9" s="98"/>
      <c r="F9" s="99"/>
      <c r="G9" s="1"/>
    </row>
    <row r="10" spans="1:7" ht="26.25" x14ac:dyDescent="0.25">
      <c r="A10" s="1"/>
      <c r="B10" s="72" t="s">
        <v>15</v>
      </c>
      <c r="C10" s="72" t="s">
        <v>10</v>
      </c>
      <c r="D10" s="73"/>
      <c r="E10" s="72" t="s">
        <v>27</v>
      </c>
      <c r="F10" s="30"/>
      <c r="G10" s="1"/>
    </row>
    <row r="11" spans="1:7" x14ac:dyDescent="0.25">
      <c r="A11" s="1"/>
      <c r="B11" s="23" t="s">
        <v>247</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3RU+EWRUkJZRQs2dL8hr+/PtzfwJzHWhaxPGJhHpHRq8UwggDOrL+TM0YEu/UbXWvaKMFziHcxrjsqfBFG9SA==" saltValue="Dha/lP2e50/BO9bGqRELC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180</v>
      </c>
      <c r="C3" s="96"/>
      <c r="D3" s="96"/>
      <c r="E3" s="96"/>
      <c r="F3" s="96"/>
      <c r="G3" s="1"/>
    </row>
    <row r="4" spans="1:7" ht="25.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7" t="s">
        <v>104</v>
      </c>
      <c r="C8" s="98"/>
      <c r="D8" s="98"/>
      <c r="E8" s="98"/>
      <c r="F8" s="99"/>
      <c r="G8" s="1"/>
    </row>
    <row r="9" spans="1:7" ht="15" customHeight="1" x14ac:dyDescent="0.25">
      <c r="A9" s="1"/>
      <c r="B9" s="53" t="s">
        <v>105</v>
      </c>
      <c r="C9" s="128" t="s">
        <v>10</v>
      </c>
      <c r="D9" s="130"/>
      <c r="E9" s="128" t="s">
        <v>27</v>
      </c>
      <c r="F9" s="130"/>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hCv25mdtiRYFW7NUiZhssuybkyO3V1kPhfR6k/Tcg72jrw26bdfb7k8MXi+uwpVj59V0bYu6dt6eE4Eh66V9gA==" saltValue="5qRy87/dca3gtIhwZUlZF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181</v>
      </c>
      <c r="C3" s="96"/>
      <c r="D3" s="96"/>
      <c r="E3" s="96"/>
      <c r="F3" s="96"/>
      <c r="G3" s="1"/>
    </row>
    <row r="4" spans="1:7" ht="25.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97" t="s">
        <v>237</v>
      </c>
      <c r="C10" s="98"/>
      <c r="D10" s="98"/>
      <c r="E10" s="98"/>
      <c r="F10" s="99"/>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QDz0yBC0RJtufNVt4f+qd/I2a1nIn/olSTjPSR0YJHqAFd30Dp/cANAPjdkq/Ds4pQlQr+L6MANcqvLS/hFriA==" saltValue="A8xbq8Ba5FPdm5oUSbsDE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6" t="s">
        <v>182</v>
      </c>
      <c r="C3" s="96"/>
      <c r="D3" s="1"/>
    </row>
    <row r="4" spans="1:4" ht="25.5" customHeight="1" x14ac:dyDescent="0.25">
      <c r="A4" s="1"/>
      <c r="B4" s="96"/>
      <c r="C4" s="96"/>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4" t="s">
        <v>93</v>
      </c>
      <c r="C9" s="40">
        <v>1.2699999999999999E-2</v>
      </c>
      <c r="D9" s="1"/>
    </row>
    <row r="10" spans="1:4" x14ac:dyDescent="0.25">
      <c r="A10" s="1"/>
      <c r="B10" s="64" t="s">
        <v>21</v>
      </c>
      <c r="C10" s="40">
        <v>1.7500000000000002E-2</v>
      </c>
      <c r="D10" s="1"/>
    </row>
    <row r="11" spans="1:4" x14ac:dyDescent="0.25">
      <c r="A11" s="1"/>
      <c r="B11" s="64"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97"/>
      <c r="C17" s="99"/>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4" t="s">
        <v>95</v>
      </c>
      <c r="C21" s="42">
        <v>9.1000000000000004E-3</v>
      </c>
      <c r="D21" s="1"/>
    </row>
    <row r="22" spans="1:4" x14ac:dyDescent="0.25">
      <c r="A22" s="1"/>
      <c r="B22" s="64" t="s">
        <v>96</v>
      </c>
      <c r="C22" s="42">
        <v>1.77E-2</v>
      </c>
      <c r="D22" s="1"/>
    </row>
    <row r="23" spans="1:4" x14ac:dyDescent="0.25">
      <c r="A23" s="1"/>
      <c r="B23" s="64" t="s">
        <v>97</v>
      </c>
      <c r="C23" s="42">
        <v>8.6999999999999994E-3</v>
      </c>
      <c r="D23" s="1"/>
    </row>
    <row r="24" spans="1:4" x14ac:dyDescent="0.25">
      <c r="A24" s="1"/>
      <c r="B24" s="64" t="s">
        <v>98</v>
      </c>
      <c r="C24" s="42">
        <v>2.8400000000000002E-2</v>
      </c>
      <c r="D24" s="1"/>
    </row>
    <row r="25" spans="1:4" x14ac:dyDescent="0.25">
      <c r="A25" s="1"/>
      <c r="B25" s="64" t="s">
        <v>111</v>
      </c>
      <c r="C25" s="42">
        <v>2.75E-2</v>
      </c>
      <c r="D25" s="1"/>
    </row>
    <row r="26" spans="1:4" x14ac:dyDescent="0.25">
      <c r="A26" s="1"/>
      <c r="B26" s="64"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4"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VZpO+4FZPpK7/mOps0DW/gPbC4vOQ3uIF44hX9ICH83gFdfrhiotL829WhqolS5uevHac0+eejQygl2H3kqp1Q==" saltValue="20iU2onKD4E66pPajfWRg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3" t="s">
        <v>198</v>
      </c>
      <c r="C3" s="93"/>
      <c r="D3" s="93"/>
      <c r="E3" s="1"/>
    </row>
    <row r="4" spans="1:5" ht="15" customHeight="1" x14ac:dyDescent="0.25">
      <c r="A4" s="1"/>
      <c r="B4" s="93"/>
      <c r="C4" s="93"/>
      <c r="D4" s="93"/>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37318301.812538072</v>
      </c>
      <c r="D8" s="8" t="s">
        <v>3</v>
      </c>
      <c r="E8" s="1"/>
    </row>
    <row r="9" spans="1:5" ht="17.100000000000001" customHeight="1" x14ac:dyDescent="0.25">
      <c r="A9" s="1"/>
      <c r="B9" s="24" t="s">
        <v>33</v>
      </c>
      <c r="C9" s="7">
        <f>'Fane 10.1. Varige tillæg'!C18</f>
        <v>174728.6128</v>
      </c>
      <c r="D9" s="8" t="s">
        <v>3</v>
      </c>
      <c r="E9" s="1"/>
    </row>
    <row r="10" spans="1:5" ht="17.100000000000001" customHeight="1" x14ac:dyDescent="0.25">
      <c r="A10" s="1"/>
      <c r="B10" s="24" t="s">
        <v>34</v>
      </c>
      <c r="C10" s="9">
        <f>'Fane 10.1. Varige tillæg'!E18</f>
        <v>75872.160000000003</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1348780.0869685954</v>
      </c>
      <c r="D15" s="8" t="s">
        <v>3</v>
      </c>
      <c r="E15" s="1"/>
    </row>
    <row r="16" spans="1:5" ht="17.100000000000001" customHeight="1" x14ac:dyDescent="0.25">
      <c r="A16" s="1"/>
      <c r="B16" s="24" t="s">
        <v>9</v>
      </c>
      <c r="C16" s="9">
        <f>-SUM(C8,C9:C15)*'Fane 5. Individuelt eff. krav'!G9</f>
        <v>-614308.13374594261</v>
      </c>
      <c r="D16" s="8" t="s">
        <v>3</v>
      </c>
      <c r="E16" s="1"/>
    </row>
    <row r="17" spans="1:5" ht="17.100000000000001" customHeight="1" x14ac:dyDescent="0.25">
      <c r="A17" s="1"/>
      <c r="B17" s="24" t="s">
        <v>22</v>
      </c>
      <c r="C17" s="9">
        <f>-'Fane 4.1. Gen. krav - drift'!G49</f>
        <v>-330814.68308412033</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69" t="s">
        <v>19</v>
      </c>
      <c r="C19" s="10">
        <f>SUM(C8:C18)</f>
        <v>37972559.855476595</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24160200.238607999</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69" t="s">
        <v>76</v>
      </c>
      <c r="C27" s="10">
        <f>SUM(C23:C26)</f>
        <v>0</v>
      </c>
      <c r="D27" s="11" t="s">
        <v>3</v>
      </c>
      <c r="E27" s="1"/>
    </row>
    <row r="28" spans="1:5" ht="15" customHeight="1" x14ac:dyDescent="0.25">
      <c r="A28" s="1"/>
      <c r="B28" s="26" t="s">
        <v>117</v>
      </c>
      <c r="C28" s="52"/>
      <c r="D28" s="19"/>
      <c r="E28" s="1"/>
    </row>
    <row r="29" spans="1:5" x14ac:dyDescent="0.25">
      <c r="A29" s="1"/>
      <c r="B29" s="68" t="s">
        <v>118</v>
      </c>
      <c r="C29" s="10">
        <f>'Fane 7. Kontrol af ØR2022'!E15</f>
        <v>-246924.96746373177</v>
      </c>
      <c r="D29" s="11" t="s">
        <v>3</v>
      </c>
      <c r="E29" s="1"/>
    </row>
    <row r="30" spans="1:5" x14ac:dyDescent="0.25">
      <c r="A30" s="1"/>
      <c r="B30" s="26" t="s">
        <v>138</v>
      </c>
      <c r="C30" s="52"/>
      <c r="D30" s="19"/>
      <c r="E30" s="1"/>
    </row>
    <row r="31" spans="1:5" x14ac:dyDescent="0.25">
      <c r="A31" s="1"/>
      <c r="B31" s="68" t="s">
        <v>139</v>
      </c>
      <c r="C31" s="10">
        <f>'Fane 8. Skattesagen'!G13</f>
        <v>-870282</v>
      </c>
      <c r="D31" s="11" t="s">
        <v>3</v>
      </c>
      <c r="E31" s="1"/>
    </row>
    <row r="32" spans="1:5" x14ac:dyDescent="0.25">
      <c r="A32" s="1"/>
      <c r="B32" s="51" t="s">
        <v>126</v>
      </c>
      <c r="C32" s="33">
        <f>SUM(C19,C21,C27,C29,C31)</f>
        <v>61015553.126620859</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Zy6fSZ9H25aLDN7YUuB6IK5uD7jLAR9l1bntR2egAppbhKCm9Ucx4jj55S8vYPK3b+YAxEqhaM+iWrg8MmXjkw==" saltValue="PfZ+L24Ade6coY7NsVkG6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3" t="s">
        <v>199</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37972559.855476595</v>
      </c>
      <c r="D8" s="8" t="s">
        <v>3</v>
      </c>
      <c r="E8" s="1"/>
    </row>
    <row r="9" spans="1:5" ht="15" customHeight="1" x14ac:dyDescent="0.25">
      <c r="A9" s="1"/>
      <c r="B9" s="29" t="s">
        <v>17</v>
      </c>
      <c r="C9" s="9">
        <f>SUM(C8:C8)*'Fane 13. Nøgletal'!C16</f>
        <v>3068182.8363225088</v>
      </c>
      <c r="D9" s="8" t="s">
        <v>3</v>
      </c>
      <c r="E9" s="1"/>
    </row>
    <row r="10" spans="1:5" ht="15" customHeight="1" x14ac:dyDescent="0.25">
      <c r="A10" s="1"/>
      <c r="B10" s="29" t="s">
        <v>9</v>
      </c>
      <c r="C10" s="9">
        <f>-SUM(C8:C9)*'Fane 5. Individuelt eff. krav'!G9</f>
        <v>-647820.22770556295</v>
      </c>
      <c r="D10" s="8" t="s">
        <v>3</v>
      </c>
      <c r="E10" s="1"/>
    </row>
    <row r="11" spans="1:5" ht="15" customHeight="1" x14ac:dyDescent="0.25">
      <c r="A11" s="1"/>
      <c r="B11" s="29" t="s">
        <v>22</v>
      </c>
      <c r="C11" s="9">
        <f>-'Fane 4.1. Gen. krav - drift'!G54</f>
        <v>-350393.61928777082</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40042528.84480577</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26112344.417887524</v>
      </c>
      <c r="D15" s="11" t="s">
        <v>3</v>
      </c>
      <c r="E15" s="1"/>
    </row>
    <row r="16" spans="1:5" x14ac:dyDescent="0.25">
      <c r="A16" s="1"/>
      <c r="B16" s="26" t="s">
        <v>117</v>
      </c>
      <c r="C16" s="52"/>
      <c r="D16" s="19"/>
      <c r="E16" s="1"/>
    </row>
    <row r="17" spans="1:5" ht="15" customHeight="1" x14ac:dyDescent="0.25">
      <c r="A17" s="1"/>
      <c r="B17" s="68" t="s">
        <v>118</v>
      </c>
      <c r="C17" s="10">
        <f>'Fane 7. Kontrol af ØR2022'!E33</f>
        <v>-1203758.7412099466</v>
      </c>
      <c r="D17" s="11" t="s">
        <v>3</v>
      </c>
      <c r="E17" s="1"/>
    </row>
    <row r="18" spans="1:5" x14ac:dyDescent="0.25">
      <c r="A18" s="1"/>
      <c r="B18" s="26" t="s">
        <v>138</v>
      </c>
      <c r="C18" s="52"/>
      <c r="D18" s="19"/>
      <c r="E18" s="1"/>
    </row>
    <row r="19" spans="1:5" x14ac:dyDescent="0.25">
      <c r="A19" s="1"/>
      <c r="B19" s="68" t="s">
        <v>139</v>
      </c>
      <c r="C19" s="10">
        <f>'Fane 8. Skattesagen'!G13</f>
        <v>-870282</v>
      </c>
      <c r="D19" s="11" t="s">
        <v>3</v>
      </c>
      <c r="E19" s="1"/>
    </row>
    <row r="20" spans="1:5" x14ac:dyDescent="0.25">
      <c r="A20" s="1"/>
      <c r="B20" s="51" t="s">
        <v>128</v>
      </c>
      <c r="C20" s="12">
        <f>SUM(C13,C15,C17,C19)</f>
        <v>64080832.521483347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zIhaStRFiql0gHhfqoqK1FMhRBG1tdTS59XcZEGCRTzhU2BaeppRttljhNU2ClcLfnoJWIMl4l+If/af2Qe1A==" saltValue="onx6LqzrW2M3RJqSpn5ZN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3" t="s">
        <v>200</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40042528.84480577</v>
      </c>
      <c r="D8" s="8" t="s">
        <v>3</v>
      </c>
      <c r="E8" s="1"/>
    </row>
    <row r="9" spans="1:5" ht="15" customHeight="1" x14ac:dyDescent="0.25">
      <c r="A9" s="1"/>
      <c r="B9" s="29" t="s">
        <v>17</v>
      </c>
      <c r="C9" s="9">
        <f>SUM(C8:C8)*'Fane 13. Nøgletal'!C16</f>
        <v>3235436.3306603059</v>
      </c>
      <c r="D9" s="8" t="s">
        <v>3</v>
      </c>
      <c r="E9" s="1"/>
    </row>
    <row r="10" spans="1:5" ht="15" customHeight="1" x14ac:dyDescent="0.25">
      <c r="A10" s="1"/>
      <c r="B10" s="29" t="s">
        <v>9</v>
      </c>
      <c r="C10" s="9">
        <f>-SUM(C8:C9)*'Fane 5. Individuelt eff. krav'!G9</f>
        <v>-683134.35419886222</v>
      </c>
      <c r="D10" s="8" t="s">
        <v>3</v>
      </c>
      <c r="E10" s="1"/>
    </row>
    <row r="11" spans="1:5" ht="15" customHeight="1" x14ac:dyDescent="0.25">
      <c r="A11" s="1"/>
      <c r="B11" s="29" t="s">
        <v>22</v>
      </c>
      <c r="C11" s="9">
        <f>-'Fane 4.1. Gen. krav - drift'!G59</f>
        <v>-371131.31525169825</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42223699.506015509</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28222221.846852835</v>
      </c>
      <c r="D15" s="11" t="s">
        <v>3</v>
      </c>
      <c r="E15" s="1"/>
    </row>
    <row r="16" spans="1:5" x14ac:dyDescent="0.25">
      <c r="A16" s="1"/>
      <c r="B16" s="51" t="s">
        <v>117</v>
      </c>
      <c r="C16" s="52"/>
      <c r="D16" s="19"/>
      <c r="E16" s="1"/>
    </row>
    <row r="17" spans="1:5" x14ac:dyDescent="0.25">
      <c r="A17" s="1"/>
      <c r="B17" s="53" t="s">
        <v>118</v>
      </c>
      <c r="C17" s="10">
        <f>'Fane 7. Kontrol af ØR2022'!E33</f>
        <v>-1203758.7412099466</v>
      </c>
      <c r="D17" s="11" t="s">
        <v>3</v>
      </c>
      <c r="E17" s="1"/>
    </row>
    <row r="18" spans="1:5" ht="15" customHeight="1" x14ac:dyDescent="0.25">
      <c r="A18" s="1"/>
      <c r="B18" s="26" t="s">
        <v>138</v>
      </c>
      <c r="C18" s="52"/>
      <c r="D18" s="19"/>
      <c r="E18" s="1"/>
    </row>
    <row r="19" spans="1:5" ht="15" customHeight="1" x14ac:dyDescent="0.25">
      <c r="A19" s="1"/>
      <c r="B19" s="68" t="s">
        <v>139</v>
      </c>
      <c r="C19" s="10">
        <f>'Fane 8. Skattesagen'!G14</f>
        <v>-870282</v>
      </c>
      <c r="D19" s="11" t="s">
        <v>3</v>
      </c>
      <c r="E19" s="1"/>
    </row>
    <row r="20" spans="1:5" x14ac:dyDescent="0.25">
      <c r="A20" s="1"/>
      <c r="B20" s="51" t="s">
        <v>143</v>
      </c>
      <c r="C20" s="12">
        <f>SUM(C13,C15,C17,C19)</f>
        <v>68371880.611658394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XFW4Wx8rY41IDB3pBwhyFn4ixAVlcX/85Zf5L+Wu0G5Fvj7Ni7A0xZZdMgVsRWGoGR2SVhYUxCD7zeTXoGIJQ==" saltValue="fzRoRE8HCM9kvuqYw+o6J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3" t="s">
        <v>204</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42223699.506015509</v>
      </c>
      <c r="D8" s="8" t="s">
        <v>3</v>
      </c>
      <c r="E8" s="1"/>
    </row>
    <row r="9" spans="1:5" ht="15" customHeight="1" x14ac:dyDescent="0.25">
      <c r="A9" s="1"/>
      <c r="B9" s="29" t="s">
        <v>17</v>
      </c>
      <c r="C9" s="9">
        <f>SUM(C8:C8)*'Fane 13. Nøgletal'!C16</f>
        <v>3411674.9200860532</v>
      </c>
      <c r="D9" s="8" t="s">
        <v>3</v>
      </c>
      <c r="E9" s="1"/>
    </row>
    <row r="10" spans="1:5" ht="15" customHeight="1" x14ac:dyDescent="0.25">
      <c r="A10" s="1"/>
      <c r="B10" s="29" t="s">
        <v>9</v>
      </c>
      <c r="C10" s="9">
        <f>-SUM(C8:C9)*'Fane 5. Individuelt eff. krav'!G9</f>
        <v>-720345.60568644921</v>
      </c>
      <c r="D10" s="8" t="s">
        <v>3</v>
      </c>
      <c r="E10" s="1"/>
    </row>
    <row r="11" spans="1:5" ht="15" customHeight="1" x14ac:dyDescent="0.25">
      <c r="A11" s="1"/>
      <c r="B11" s="29" t="s">
        <v>22</v>
      </c>
      <c r="C11" s="9">
        <f>-'Fane 4.1. Gen. krav - drift'!G64</f>
        <v>-393096.35101355478</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44521932.469401561</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30502577.372078545</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68" t="s">
        <v>139</v>
      </c>
      <c r="C19" s="10">
        <f>'Fane 8. Skattesagen'!G15</f>
        <v>-870282</v>
      </c>
      <c r="D19" s="11" t="s">
        <v>3</v>
      </c>
      <c r="E19" s="1"/>
    </row>
    <row r="20" spans="1:5" x14ac:dyDescent="0.25">
      <c r="A20" s="1"/>
      <c r="B20" s="51" t="s">
        <v>205</v>
      </c>
      <c r="C20" s="12">
        <f>SUM(C13,C15,C17,C19)</f>
        <v>74154227.841480106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yImZ+D/HHPlatDKXflXrDthlzv5E7RMab5jksTPtdq4/mPHp94TsG4kXnmCzTRu4FIe/l7owkXb635A76SgexA==" saltValue="uzhk5iDe8eA7V6tWFps3k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7109375" style="2" customWidth="1"/>
    <col min="2" max="2" width="56.85546875" style="2" customWidth="1"/>
    <col min="3" max="3" width="12.85546875" style="2" bestFit="1" customWidth="1"/>
    <col min="4" max="4" width="3" style="2" customWidth="1"/>
    <col min="5" max="5" width="6.140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6" t="s">
        <v>201</v>
      </c>
      <c r="C3" s="96"/>
      <c r="D3" s="96"/>
      <c r="E3" s="1"/>
    </row>
    <row r="4" spans="1:5" x14ac:dyDescent="0.25">
      <c r="A4" s="1"/>
      <c r="B4" s="96"/>
      <c r="C4" s="96"/>
      <c r="D4" s="96"/>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35993720.972686395</v>
      </c>
      <c r="D8" s="8" t="s">
        <v>3</v>
      </c>
      <c r="E8" s="1"/>
    </row>
    <row r="9" spans="1:5" x14ac:dyDescent="0.25">
      <c r="A9" s="1"/>
      <c r="B9" s="24" t="s">
        <v>33</v>
      </c>
      <c r="C9" s="7">
        <v>876068.92680000002</v>
      </c>
      <c r="D9" s="8" t="s">
        <v>3</v>
      </c>
      <c r="E9" s="1"/>
    </row>
    <row r="10" spans="1:5" x14ac:dyDescent="0.25">
      <c r="A10" s="1"/>
      <c r="B10" s="24" t="s">
        <v>34</v>
      </c>
      <c r="C10" s="9">
        <v>59738.586000000003</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1314691.2140833156</v>
      </c>
      <c r="D15" s="8" t="s">
        <v>3</v>
      </c>
      <c r="E15" s="1"/>
    </row>
    <row r="16" spans="1:5" x14ac:dyDescent="0.25">
      <c r="A16" s="1"/>
      <c r="B16" s="24" t="s">
        <v>9</v>
      </c>
      <c r="C16" s="9">
        <v>-603677.65028646821</v>
      </c>
      <c r="D16" s="8" t="s">
        <v>3</v>
      </c>
      <c r="E16" s="1"/>
    </row>
    <row r="17" spans="1:5" x14ac:dyDescent="0.25">
      <c r="A17" s="1"/>
      <c r="B17" s="24" t="s">
        <v>22</v>
      </c>
      <c r="C17" s="9">
        <v>-322240.23674517334</v>
      </c>
      <c r="D17" s="8" t="s">
        <v>3</v>
      </c>
      <c r="E17" s="1"/>
    </row>
    <row r="18" spans="1:5" x14ac:dyDescent="0.25">
      <c r="A18" s="1"/>
      <c r="B18" s="24" t="s">
        <v>23</v>
      </c>
      <c r="C18" s="9">
        <v>0</v>
      </c>
      <c r="D18" s="8" t="s">
        <v>3</v>
      </c>
      <c r="E18" s="1"/>
    </row>
    <row r="19" spans="1:5" x14ac:dyDescent="0.25">
      <c r="A19" s="1"/>
      <c r="B19" s="69" t="s">
        <v>19</v>
      </c>
      <c r="C19" s="10">
        <v>37318301.812538072</v>
      </c>
      <c r="D19" s="11" t="s">
        <v>3</v>
      </c>
      <c r="E19" s="1"/>
    </row>
    <row r="20" spans="1:5" x14ac:dyDescent="0.25">
      <c r="A20" s="1"/>
      <c r="B20" s="51" t="s">
        <v>11</v>
      </c>
      <c r="C20" s="52"/>
      <c r="D20" s="19"/>
      <c r="E20" s="1"/>
    </row>
    <row r="21" spans="1:5" x14ac:dyDescent="0.25">
      <c r="A21" s="1"/>
      <c r="B21" s="53" t="s">
        <v>11</v>
      </c>
      <c r="C21" s="10">
        <v>21432564.15828336</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69" t="s">
        <v>76</v>
      </c>
      <c r="C27" s="56">
        <v>0</v>
      </c>
      <c r="D27" s="11" t="s">
        <v>3</v>
      </c>
      <c r="E27" s="1"/>
    </row>
    <row r="28" spans="1:5" x14ac:dyDescent="0.25">
      <c r="A28" s="1"/>
      <c r="B28" s="26" t="s">
        <v>117</v>
      </c>
      <c r="C28" s="52"/>
      <c r="D28" s="19"/>
      <c r="E28" s="1"/>
    </row>
    <row r="29" spans="1:5" x14ac:dyDescent="0.25">
      <c r="A29" s="1"/>
      <c r="B29" s="68" t="s">
        <v>118</v>
      </c>
      <c r="C29" s="10">
        <v>-246924.96746373177</v>
      </c>
      <c r="D29" s="11" t="s">
        <v>3</v>
      </c>
      <c r="E29" s="1"/>
    </row>
    <row r="30" spans="1:5" x14ac:dyDescent="0.25">
      <c r="A30" s="1"/>
      <c r="B30" s="26" t="s">
        <v>138</v>
      </c>
      <c r="C30" s="52"/>
      <c r="D30" s="19"/>
      <c r="E30" s="1"/>
    </row>
    <row r="31" spans="1:5" x14ac:dyDescent="0.25">
      <c r="A31" s="1"/>
      <c r="B31" s="68" t="s">
        <v>139</v>
      </c>
      <c r="C31" s="10">
        <v>-870282</v>
      </c>
      <c r="D31" s="11" t="s">
        <v>3</v>
      </c>
      <c r="E31" s="1"/>
    </row>
    <row r="32" spans="1:5" x14ac:dyDescent="0.25">
      <c r="A32" s="1"/>
      <c r="B32" s="51" t="s">
        <v>239</v>
      </c>
      <c r="C32" s="33">
        <v>57633659.003357701</v>
      </c>
      <c r="D32" s="19" t="s">
        <v>3</v>
      </c>
      <c r="E32" s="1"/>
    </row>
    <row r="33" spans="1:5" ht="30" customHeight="1" x14ac:dyDescent="0.25">
      <c r="A33" s="1"/>
      <c r="B33" s="95" t="s">
        <v>240</v>
      </c>
      <c r="C33" s="95"/>
      <c r="D33" s="95"/>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NJjW4xIZLANU+RlP1AAz8qwrvuTXcuZlgE1FC2sAMRMXbYjL/rfUQQW/yQvuWEHjB+8F8oSxrygFGgVl4C2AJw==" saltValue="jpYkTMjKpkRNCPh3ihP+7A=="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6" t="s">
        <v>90</v>
      </c>
      <c r="C1" s="96"/>
      <c r="D1" s="96"/>
      <c r="E1" s="96"/>
      <c r="F1" s="96"/>
      <c r="G1" s="96"/>
      <c r="H1" s="96"/>
      <c r="I1" s="1"/>
    </row>
    <row r="2" spans="1:9" ht="15" customHeight="1" x14ac:dyDescent="0.25">
      <c r="A2" s="1"/>
      <c r="B2" s="96"/>
      <c r="C2" s="96"/>
      <c r="D2" s="96"/>
      <c r="E2" s="96"/>
      <c r="F2" s="96"/>
      <c r="G2" s="96"/>
      <c r="H2" s="96"/>
      <c r="I2" s="1"/>
    </row>
    <row r="3" spans="1:9" ht="15" customHeight="1" x14ac:dyDescent="0.25">
      <c r="A3" s="1"/>
      <c r="B3" s="96"/>
      <c r="C3" s="96"/>
      <c r="D3" s="96"/>
      <c r="E3" s="96"/>
      <c r="F3" s="96"/>
      <c r="G3" s="96"/>
      <c r="H3" s="96"/>
      <c r="I3" s="1"/>
    </row>
    <row r="4" spans="1:9" x14ac:dyDescent="0.25">
      <c r="A4" s="1"/>
      <c r="B4" s="97" t="s">
        <v>44</v>
      </c>
      <c r="C4" s="98"/>
      <c r="D4" s="98"/>
      <c r="E4" s="98"/>
      <c r="F4" s="98"/>
      <c r="G4" s="98"/>
      <c r="H4" s="99"/>
      <c r="I4" s="1"/>
    </row>
    <row r="5" spans="1:9" x14ac:dyDescent="0.25">
      <c r="A5" s="1"/>
      <c r="B5" s="100" t="s">
        <v>36</v>
      </c>
      <c r="C5" s="101"/>
      <c r="D5" s="101"/>
      <c r="E5" s="101"/>
      <c r="F5" s="102"/>
      <c r="G5" s="47">
        <v>15140006</v>
      </c>
      <c r="H5" s="14" t="s">
        <v>3</v>
      </c>
      <c r="I5" s="1"/>
    </row>
    <row r="6" spans="1:9" x14ac:dyDescent="0.25">
      <c r="A6" s="1"/>
      <c r="B6" s="100" t="s">
        <v>37</v>
      </c>
      <c r="C6" s="101"/>
      <c r="D6" s="101"/>
      <c r="E6" s="101"/>
      <c r="F6" s="102"/>
      <c r="G6" s="22">
        <f>G5*'Fane 13. Nøgletal'!C33</f>
        <v>302800.12</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97" t="s">
        <v>45</v>
      </c>
      <c r="C9" s="98"/>
      <c r="D9" s="98"/>
      <c r="E9" s="98"/>
      <c r="F9" s="98"/>
      <c r="G9" s="98"/>
      <c r="H9" s="99"/>
      <c r="I9" s="1"/>
    </row>
    <row r="10" spans="1:9" x14ac:dyDescent="0.25">
      <c r="A10" s="1"/>
      <c r="B10" s="100" t="s">
        <v>38</v>
      </c>
      <c r="C10" s="101"/>
      <c r="D10" s="101"/>
      <c r="E10" s="101"/>
      <c r="F10" s="102"/>
      <c r="G10" s="22">
        <f>(G5-G6)*(1+'Fane 13. Nøgletal'!C9)</f>
        <v>15025638.394676</v>
      </c>
      <c r="H10" s="14" t="s">
        <v>3</v>
      </c>
      <c r="I10" s="1"/>
    </row>
    <row r="11" spans="1:9" x14ac:dyDescent="0.25">
      <c r="A11" s="1"/>
      <c r="B11" s="103" t="s">
        <v>228</v>
      </c>
      <c r="C11" s="104"/>
      <c r="D11" s="104"/>
      <c r="E11" s="104"/>
      <c r="F11" s="105"/>
      <c r="G11" s="47">
        <v>0</v>
      </c>
      <c r="H11" s="14" t="s">
        <v>3</v>
      </c>
      <c r="I11" s="1"/>
    </row>
    <row r="12" spans="1:9" x14ac:dyDescent="0.25">
      <c r="A12" s="1"/>
      <c r="B12" s="100" t="s">
        <v>39</v>
      </c>
      <c r="C12" s="101"/>
      <c r="D12" s="101"/>
      <c r="E12" s="101"/>
      <c r="F12" s="102"/>
      <c r="G12" s="22">
        <f>(G10+G11)*'Fane 13. Nøgletal'!C33</f>
        <v>300512.76789352001</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97" t="s">
        <v>46</v>
      </c>
      <c r="C15" s="98"/>
      <c r="D15" s="98"/>
      <c r="E15" s="98"/>
      <c r="F15" s="98"/>
      <c r="G15" s="98"/>
      <c r="H15" s="99"/>
      <c r="I15" s="1"/>
    </row>
    <row r="16" spans="1:9" x14ac:dyDescent="0.25">
      <c r="A16" s="1"/>
      <c r="B16" s="100" t="s">
        <v>40</v>
      </c>
      <c r="C16" s="101"/>
      <c r="D16" s="101"/>
      <c r="E16" s="101"/>
      <c r="F16" s="102"/>
      <c r="G16" s="22">
        <f>(G10+G11-G12)*(1+'Fane 13. Nøgletal'!C11)</f>
        <v>14973980.249875104</v>
      </c>
      <c r="H16" s="14" t="s">
        <v>3</v>
      </c>
      <c r="I16" s="1"/>
    </row>
    <row r="17" spans="1:9" x14ac:dyDescent="0.25">
      <c r="A17" s="1"/>
      <c r="B17" s="100" t="s">
        <v>100</v>
      </c>
      <c r="C17" s="101"/>
      <c r="D17" s="101"/>
      <c r="E17" s="101"/>
      <c r="F17" s="102"/>
      <c r="G17" s="47">
        <v>0.47886643501026877</v>
      </c>
      <c r="H17" s="14" t="s">
        <v>3</v>
      </c>
      <c r="I17" s="1"/>
    </row>
    <row r="18" spans="1:9" x14ac:dyDescent="0.25">
      <c r="A18" s="1"/>
      <c r="B18" s="103" t="s">
        <v>229</v>
      </c>
      <c r="C18" s="104"/>
      <c r="D18" s="104"/>
      <c r="E18" s="104"/>
      <c r="F18" s="105"/>
      <c r="G18" s="47">
        <v>0</v>
      </c>
      <c r="H18" s="14" t="s">
        <v>3</v>
      </c>
      <c r="I18" s="1"/>
    </row>
    <row r="19" spans="1:9" x14ac:dyDescent="0.25">
      <c r="A19" s="1"/>
      <c r="B19" s="100" t="s">
        <v>41</v>
      </c>
      <c r="C19" s="101"/>
      <c r="D19" s="101"/>
      <c r="E19" s="101"/>
      <c r="F19" s="102"/>
      <c r="G19" s="22">
        <f>SUM(G16:G18)*'Fane 13. Nøgletal'!C33</f>
        <v>299479.6145748308</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97" t="s">
        <v>47</v>
      </c>
      <c r="C22" s="98"/>
      <c r="D22" s="98"/>
      <c r="E22" s="98"/>
      <c r="F22" s="98"/>
      <c r="G22" s="98"/>
      <c r="H22" s="99"/>
      <c r="I22" s="1"/>
    </row>
    <row r="23" spans="1:9" x14ac:dyDescent="0.25">
      <c r="A23" s="1"/>
      <c r="B23" s="100" t="s">
        <v>42</v>
      </c>
      <c r="C23" s="101"/>
      <c r="D23" s="101"/>
      <c r="E23" s="101"/>
      <c r="F23" s="102"/>
      <c r="G23" s="22">
        <f>(SUM(G16:G18)-G19)*(1+'Fane 13. Nøgletal'!C11)</f>
        <v>14922500.182996124</v>
      </c>
      <c r="H23" s="14" t="s">
        <v>3</v>
      </c>
      <c r="I23" s="1"/>
    </row>
    <row r="24" spans="1:9" x14ac:dyDescent="0.25">
      <c r="A24" s="1"/>
      <c r="B24" s="103" t="s">
        <v>230</v>
      </c>
      <c r="C24" s="104"/>
      <c r="D24" s="104"/>
      <c r="E24" s="104"/>
      <c r="F24" s="105"/>
      <c r="G24" s="47">
        <v>17362.381526820001</v>
      </c>
      <c r="H24" s="14" t="s">
        <v>3</v>
      </c>
      <c r="I24" s="1"/>
    </row>
    <row r="25" spans="1:9" x14ac:dyDescent="0.25">
      <c r="A25" s="1"/>
      <c r="B25" s="100" t="s">
        <v>43</v>
      </c>
      <c r="C25" s="101"/>
      <c r="D25" s="101"/>
      <c r="E25" s="101"/>
      <c r="F25" s="102"/>
      <c r="G25" s="22">
        <f>(G23+G24)*'Fane 13. Nøgletal'!C33</f>
        <v>298797.25129045889</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97" t="s">
        <v>121</v>
      </c>
      <c r="C28" s="98"/>
      <c r="D28" s="98"/>
      <c r="E28" s="98"/>
      <c r="F28" s="98"/>
      <c r="G28" s="98"/>
      <c r="H28" s="99"/>
      <c r="I28" s="1"/>
    </row>
    <row r="29" spans="1:9" x14ac:dyDescent="0.25">
      <c r="A29" s="1"/>
      <c r="B29" s="100" t="s">
        <v>50</v>
      </c>
      <c r="C29" s="101"/>
      <c r="D29" s="101"/>
      <c r="E29" s="101"/>
      <c r="F29" s="102"/>
      <c r="G29" s="22">
        <f>(G23+G24-G25)*(1+'Fane 13. Nøgletal'!C13)</f>
        <v>14819686.310053922</v>
      </c>
      <c r="H29" s="14" t="s">
        <v>3</v>
      </c>
      <c r="I29" s="1"/>
    </row>
    <row r="30" spans="1:9" x14ac:dyDescent="0.25">
      <c r="A30" s="1"/>
      <c r="B30" s="100" t="s">
        <v>231</v>
      </c>
      <c r="C30" s="101"/>
      <c r="D30" s="101"/>
      <c r="E30" s="101"/>
      <c r="F30" s="102"/>
      <c r="G30" s="47">
        <v>183415.75788563999</v>
      </c>
      <c r="H30" s="14" t="s">
        <v>3</v>
      </c>
      <c r="I30" s="1"/>
    </row>
    <row r="31" spans="1:9" x14ac:dyDescent="0.25">
      <c r="A31" s="1"/>
      <c r="B31" s="100" t="s">
        <v>115</v>
      </c>
      <c r="C31" s="101"/>
      <c r="D31" s="101"/>
      <c r="E31" s="101"/>
      <c r="F31" s="102"/>
      <c r="G31" s="22">
        <f>(G29+G30)*'Fane 13. Nøgletal'!C33</f>
        <v>300062.04135879123</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97" t="s">
        <v>122</v>
      </c>
      <c r="C34" s="98"/>
      <c r="D34" s="98"/>
      <c r="E34" s="98"/>
      <c r="F34" s="98"/>
      <c r="G34" s="98"/>
      <c r="H34" s="99"/>
      <c r="I34" s="1"/>
    </row>
    <row r="35" spans="1:9" x14ac:dyDescent="0.25">
      <c r="A35" s="1"/>
      <c r="B35" s="100" t="s">
        <v>69</v>
      </c>
      <c r="C35" s="101"/>
      <c r="D35" s="101"/>
      <c r="E35" s="101"/>
      <c r="F35" s="102"/>
      <c r="G35" s="22">
        <f>(G29+G30-G31)*(1+'Fane 13. Nøgletal'!C13)</f>
        <v>14882417.114905057</v>
      </c>
      <c r="H35" s="14" t="s">
        <v>3</v>
      </c>
      <c r="I35" s="1"/>
    </row>
    <row r="36" spans="1:9" x14ac:dyDescent="0.25">
      <c r="A36" s="1"/>
      <c r="B36" s="100" t="s">
        <v>232</v>
      </c>
      <c r="C36" s="101"/>
      <c r="D36" s="101"/>
      <c r="E36" s="101"/>
      <c r="F36" s="102"/>
      <c r="G36" s="47">
        <v>99290.084967820017</v>
      </c>
      <c r="H36" s="14" t="s">
        <v>3</v>
      </c>
      <c r="I36" s="1"/>
    </row>
    <row r="37" spans="1:9" x14ac:dyDescent="0.25">
      <c r="A37" s="1"/>
      <c r="B37" s="100" t="s">
        <v>123</v>
      </c>
      <c r="C37" s="101"/>
      <c r="D37" s="101"/>
      <c r="E37" s="101"/>
      <c r="F37" s="102"/>
      <c r="G37" s="22">
        <f>(G35+G36)*'Fane 13. Nøgletal'!C33</f>
        <v>299634.14399745758</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97" t="s">
        <v>157</v>
      </c>
      <c r="C40" s="98"/>
      <c r="D40" s="98"/>
      <c r="E40" s="98"/>
      <c r="F40" s="98"/>
      <c r="G40" s="98"/>
      <c r="H40" s="99"/>
      <c r="I40" s="1"/>
    </row>
    <row r="41" spans="1:9" x14ac:dyDescent="0.25">
      <c r="A41" s="1"/>
      <c r="B41" s="100" t="s">
        <v>68</v>
      </c>
      <c r="C41" s="101"/>
      <c r="D41" s="101"/>
      <c r="E41" s="101"/>
      <c r="F41" s="102"/>
      <c r="G41" s="22">
        <f>(G35+G36-G37)*(1+'Fane 13. Nøgletal'!C15)</f>
        <v>15204754.856664587</v>
      </c>
      <c r="H41" s="14" t="s">
        <v>3</v>
      </c>
      <c r="I41" s="1"/>
    </row>
    <row r="42" spans="1:9" x14ac:dyDescent="0.25">
      <c r="A42" s="1"/>
      <c r="B42" s="100" t="s">
        <v>156</v>
      </c>
      <c r="C42" s="101"/>
      <c r="D42" s="101"/>
      <c r="E42" s="101"/>
      <c r="F42" s="102"/>
      <c r="G42" s="22">
        <v>907256.98059408006</v>
      </c>
      <c r="H42" s="14" t="s">
        <v>3</v>
      </c>
      <c r="I42" s="1"/>
    </row>
    <row r="43" spans="1:9" x14ac:dyDescent="0.25">
      <c r="A43" s="1"/>
      <c r="B43" s="100" t="s">
        <v>166</v>
      </c>
      <c r="C43" s="101"/>
      <c r="D43" s="101"/>
      <c r="E43" s="101"/>
      <c r="F43" s="102"/>
      <c r="G43" s="22">
        <f>(G41+G42)*'Fane 13. Nøgletal'!C33</f>
        <v>322240.23674517334</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97" t="s">
        <v>158</v>
      </c>
      <c r="C46" s="98"/>
      <c r="D46" s="98"/>
      <c r="E46" s="98"/>
      <c r="F46" s="98"/>
      <c r="G46" s="98"/>
      <c r="H46" s="99"/>
      <c r="I46" s="1"/>
    </row>
    <row r="47" spans="1:9" x14ac:dyDescent="0.25">
      <c r="A47" s="1"/>
      <c r="B47" s="100" t="s">
        <v>112</v>
      </c>
      <c r="C47" s="101"/>
      <c r="D47" s="101"/>
      <c r="E47" s="101"/>
      <c r="F47" s="102"/>
      <c r="G47" s="22">
        <f>(G41+G42-G43)*(1+'Fane 13. Nøgletal'!C15)</f>
        <v>16351887.469491776</v>
      </c>
      <c r="H47" s="14" t="s">
        <v>3</v>
      </c>
      <c r="I47" s="1"/>
    </row>
    <row r="48" spans="1:9" x14ac:dyDescent="0.25">
      <c r="A48" s="1"/>
      <c r="B48" s="100" t="s">
        <v>206</v>
      </c>
      <c r="C48" s="101"/>
      <c r="D48" s="101"/>
      <c r="E48" s="101"/>
      <c r="F48" s="102"/>
      <c r="G48" s="22">
        <f>('Fane 2.1. Økonomisk ramme 2024'!C9+'Fane 2.1. Økonomisk ramme 2024'!C11+'Fane 2.1. Økonomisk ramme 2024'!C13)*(1+'Fane 13. Nøgletal'!C16)</f>
        <v>188846.68471423999</v>
      </c>
      <c r="H48" s="14" t="s">
        <v>3</v>
      </c>
      <c r="I48" s="1"/>
    </row>
    <row r="49" spans="1:9" x14ac:dyDescent="0.25">
      <c r="A49" s="1"/>
      <c r="B49" s="100" t="s">
        <v>167</v>
      </c>
      <c r="C49" s="101"/>
      <c r="D49" s="101"/>
      <c r="E49" s="101"/>
      <c r="F49" s="102"/>
      <c r="G49" s="22">
        <f>G47*'Fane 13. Nøgletal'!C33+G48*'Fane 13. Nøgletal'!C33</f>
        <v>330814.68308412033</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97" t="s">
        <v>133</v>
      </c>
      <c r="C52" s="98"/>
      <c r="D52" s="98"/>
      <c r="E52" s="98"/>
      <c r="F52" s="98"/>
      <c r="G52" s="98"/>
      <c r="H52" s="99"/>
      <c r="I52" s="1"/>
    </row>
    <row r="53" spans="1:9" x14ac:dyDescent="0.25">
      <c r="A53" s="1"/>
      <c r="B53" s="100" t="s">
        <v>134</v>
      </c>
      <c r="C53" s="101"/>
      <c r="D53" s="101"/>
      <c r="E53" s="101"/>
      <c r="F53" s="102"/>
      <c r="G53" s="22">
        <f>(G47+G48-G49)*(1+'Fane 13. Nøgletal'!C16)</f>
        <v>17519680.964388542</v>
      </c>
      <c r="H53" s="14" t="s">
        <v>3</v>
      </c>
      <c r="I53" s="1"/>
    </row>
    <row r="54" spans="1:9" x14ac:dyDescent="0.25">
      <c r="A54" s="1"/>
      <c r="B54" s="100" t="s">
        <v>135</v>
      </c>
      <c r="C54" s="101"/>
      <c r="D54" s="101"/>
      <c r="E54" s="101"/>
      <c r="F54" s="102"/>
      <c r="G54" s="22">
        <f>(G53)*'Fane 13. Nøgletal'!C33</f>
        <v>350393.61928777082</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97" t="s">
        <v>144</v>
      </c>
      <c r="C57" s="98"/>
      <c r="D57" s="98"/>
      <c r="E57" s="98"/>
      <c r="F57" s="98"/>
      <c r="G57" s="98"/>
      <c r="H57" s="99"/>
      <c r="I57" s="1"/>
    </row>
    <row r="58" spans="1:9" x14ac:dyDescent="0.25">
      <c r="A58" s="1"/>
      <c r="B58" s="100" t="s">
        <v>145</v>
      </c>
      <c r="C58" s="101"/>
      <c r="D58" s="101"/>
      <c r="E58" s="101"/>
      <c r="F58" s="102"/>
      <c r="G58" s="22">
        <f>(G53-G54)*(1+'Fane 13. Nøgletal'!C16)</f>
        <v>18556565.762584914</v>
      </c>
      <c r="H58" s="14" t="s">
        <v>3</v>
      </c>
      <c r="I58" s="1"/>
    </row>
    <row r="59" spans="1:9" x14ac:dyDescent="0.25">
      <c r="A59" s="1"/>
      <c r="B59" s="100" t="s">
        <v>146</v>
      </c>
      <c r="C59" s="101"/>
      <c r="D59" s="101"/>
      <c r="E59" s="101"/>
      <c r="F59" s="102"/>
      <c r="G59" s="22">
        <f>(G58)*'Fane 13. Nøgletal'!C33</f>
        <v>371131.31525169825</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97" t="s">
        <v>220</v>
      </c>
      <c r="C62" s="98"/>
      <c r="D62" s="98"/>
      <c r="E62" s="98"/>
      <c r="F62" s="98"/>
      <c r="G62" s="98"/>
      <c r="H62" s="99"/>
      <c r="I62" s="1"/>
    </row>
    <row r="63" spans="1:9" x14ac:dyDescent="0.25">
      <c r="A63" s="1"/>
      <c r="B63" s="100" t="s">
        <v>221</v>
      </c>
      <c r="C63" s="101"/>
      <c r="D63" s="101"/>
      <c r="E63" s="101"/>
      <c r="F63" s="102"/>
      <c r="G63" s="22">
        <f>(G58-G59)*(1+'Fane 13. Nøgletal'!C16)</f>
        <v>19654817.550677739</v>
      </c>
      <c r="H63" s="14" t="s">
        <v>3</v>
      </c>
      <c r="I63" s="1"/>
    </row>
    <row r="64" spans="1:9" x14ac:dyDescent="0.25">
      <c r="A64" s="1"/>
      <c r="B64" s="100" t="s">
        <v>222</v>
      </c>
      <c r="C64" s="101"/>
      <c r="D64" s="101"/>
      <c r="E64" s="101"/>
      <c r="F64" s="102"/>
      <c r="G64" s="22">
        <f>(G63)*'Fane 13. Nøgletal'!C33</f>
        <v>393096.35101355478</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lJUVGxGtpKQOhr1mdsWkxGufEAS/II8ZaYCUQpy1AhUbgYFkpl8oA3boYW7YSyUaqv128DsQYfVTvNRR8ORk8A==" saltValue="MM8kv9vyeTmePTLxxABTWQ=="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6" t="s">
        <v>91</v>
      </c>
      <c r="C1" s="107"/>
      <c r="D1" s="107"/>
      <c r="E1" s="107"/>
      <c r="F1" s="107"/>
      <c r="G1" s="107"/>
      <c r="H1" s="107"/>
      <c r="I1" s="1"/>
    </row>
    <row r="2" spans="1:9" ht="19.899999999999999" customHeight="1" x14ac:dyDescent="0.25">
      <c r="A2" s="1"/>
      <c r="B2" s="107"/>
      <c r="C2" s="107"/>
      <c r="D2" s="107"/>
      <c r="E2" s="107"/>
      <c r="F2" s="107"/>
      <c r="G2" s="107"/>
      <c r="H2" s="107"/>
      <c r="I2" s="1"/>
    </row>
    <row r="3" spans="1:9" ht="15" customHeight="1" x14ac:dyDescent="0.25">
      <c r="A3" s="1"/>
      <c r="B3" s="108"/>
      <c r="C3" s="108"/>
      <c r="D3" s="108"/>
      <c r="E3" s="108"/>
      <c r="F3" s="108"/>
      <c r="G3" s="108"/>
      <c r="H3" s="108"/>
      <c r="I3" s="1"/>
    </row>
    <row r="4" spans="1:9" x14ac:dyDescent="0.25">
      <c r="A4" s="1"/>
      <c r="B4" s="97" t="s">
        <v>48</v>
      </c>
      <c r="C4" s="98"/>
      <c r="D4" s="98"/>
      <c r="E4" s="98"/>
      <c r="F4" s="98"/>
      <c r="G4" s="98"/>
      <c r="H4" s="99"/>
      <c r="I4" s="1"/>
    </row>
    <row r="5" spans="1:9" x14ac:dyDescent="0.25">
      <c r="A5" s="1"/>
      <c r="B5" s="100" t="s">
        <v>51</v>
      </c>
      <c r="C5" s="101"/>
      <c r="D5" s="101"/>
      <c r="E5" s="101"/>
      <c r="F5" s="102"/>
      <c r="G5" s="47">
        <v>23818895</v>
      </c>
      <c r="H5" s="14" t="s">
        <v>3</v>
      </c>
      <c r="I5" s="1"/>
    </row>
    <row r="6" spans="1:9" x14ac:dyDescent="0.25">
      <c r="A6" s="1"/>
      <c r="B6" s="100" t="s">
        <v>49</v>
      </c>
      <c r="C6" s="101"/>
      <c r="D6" s="101"/>
      <c r="E6" s="101"/>
      <c r="F6" s="102"/>
      <c r="G6" s="22">
        <f>G5*'Fane 13. Nøgletal'!C21</f>
        <v>216751.94450000001</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97" t="s">
        <v>52</v>
      </c>
      <c r="C9" s="98"/>
      <c r="D9" s="98"/>
      <c r="E9" s="98"/>
      <c r="F9" s="98"/>
      <c r="G9" s="98"/>
      <c r="H9" s="99"/>
      <c r="I9" s="1"/>
    </row>
    <row r="10" spans="1:9" x14ac:dyDescent="0.25">
      <c r="A10" s="1"/>
      <c r="B10" s="100" t="s">
        <v>53</v>
      </c>
      <c r="C10" s="101"/>
      <c r="D10" s="101"/>
      <c r="E10" s="101"/>
      <c r="F10" s="102"/>
      <c r="G10" s="22">
        <f>(G5-G6)*(1+'Fane 13. Nøgletal'!C9)</f>
        <v>23901890.272304848</v>
      </c>
      <c r="H10" s="14" t="s">
        <v>3</v>
      </c>
      <c r="I10" s="1"/>
    </row>
    <row r="11" spans="1:9" x14ac:dyDescent="0.25">
      <c r="A11" s="1"/>
      <c r="B11" s="103" t="s">
        <v>54</v>
      </c>
      <c r="C11" s="104"/>
      <c r="D11" s="104"/>
      <c r="E11" s="104"/>
      <c r="F11" s="105"/>
      <c r="G11" s="48">
        <v>0</v>
      </c>
      <c r="H11" s="14" t="s">
        <v>3</v>
      </c>
      <c r="I11" s="1"/>
    </row>
    <row r="12" spans="1:9" x14ac:dyDescent="0.25">
      <c r="A12" s="1"/>
      <c r="B12" s="100" t="s">
        <v>55</v>
      </c>
      <c r="C12" s="101"/>
      <c r="D12" s="101"/>
      <c r="E12" s="101"/>
      <c r="F12" s="102"/>
      <c r="G12" s="22">
        <f>G10*'Fane 13. Nøgletal'!C21+G11*'Fane 13. Nøgletal'!C22</f>
        <v>217507.20147797413</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97" t="s">
        <v>56</v>
      </c>
      <c r="C15" s="98"/>
      <c r="D15" s="98"/>
      <c r="E15" s="98"/>
      <c r="F15" s="98"/>
      <c r="G15" s="98"/>
      <c r="H15" s="99"/>
      <c r="I15" s="1"/>
    </row>
    <row r="16" spans="1:9" x14ac:dyDescent="0.25">
      <c r="A16" s="1"/>
      <c r="B16" s="100" t="s">
        <v>57</v>
      </c>
      <c r="C16" s="101"/>
      <c r="D16" s="101"/>
      <c r="E16" s="101"/>
      <c r="F16" s="102"/>
      <c r="G16" s="22">
        <f>(G10+G11-G12)*(1+'Fane 13. Nøgletal'!C11)</f>
        <v>24084649.144723844</v>
      </c>
      <c r="H16" s="14" t="s">
        <v>3</v>
      </c>
      <c r="I16" s="1"/>
    </row>
    <row r="17" spans="1:9" x14ac:dyDescent="0.25">
      <c r="A17" s="1"/>
      <c r="B17" s="100" t="s">
        <v>101</v>
      </c>
      <c r="C17" s="101"/>
      <c r="D17" s="101"/>
      <c r="E17" s="101"/>
      <c r="F17" s="102"/>
      <c r="G17" s="47">
        <v>-41690.779563839518</v>
      </c>
      <c r="H17" s="14" t="s">
        <v>3</v>
      </c>
      <c r="I17" s="1"/>
    </row>
    <row r="18" spans="1:9" x14ac:dyDescent="0.25">
      <c r="A18" s="1"/>
      <c r="B18" s="103" t="s">
        <v>58</v>
      </c>
      <c r="C18" s="104"/>
      <c r="D18" s="104"/>
      <c r="E18" s="104"/>
      <c r="F18" s="105"/>
      <c r="G18" s="47">
        <v>68960.169655362493</v>
      </c>
      <c r="H18" s="14" t="s">
        <v>3</v>
      </c>
      <c r="I18" s="1"/>
    </row>
    <row r="19" spans="1:9" x14ac:dyDescent="0.25">
      <c r="A19" s="1"/>
      <c r="B19" s="100" t="s">
        <v>59</v>
      </c>
      <c r="C19" s="101"/>
      <c r="D19" s="101"/>
      <c r="E19" s="101"/>
      <c r="F19" s="102"/>
      <c r="G19" s="22">
        <f>(G16+G17+G18)*'Fane 13. Nøgletal'!C23</f>
        <v>209773.69125289368</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97" t="s">
        <v>60</v>
      </c>
      <c r="C22" s="98"/>
      <c r="D22" s="98"/>
      <c r="E22" s="98"/>
      <c r="F22" s="98"/>
      <c r="G22" s="98"/>
      <c r="H22" s="99"/>
      <c r="I22" s="1"/>
    </row>
    <row r="23" spans="1:9" x14ac:dyDescent="0.25">
      <c r="A23" s="1"/>
      <c r="B23" s="100" t="s">
        <v>61</v>
      </c>
      <c r="C23" s="101"/>
      <c r="D23" s="101"/>
      <c r="E23" s="101"/>
      <c r="F23" s="102"/>
      <c r="G23" s="22">
        <f>(SUM(G16:G18)-G19)*(1+'Fane 13. Nøgletal'!C11)</f>
        <v>24306091.091418676</v>
      </c>
      <c r="H23" s="14" t="s">
        <v>3</v>
      </c>
      <c r="I23" s="1"/>
    </row>
    <row r="24" spans="1:9" x14ac:dyDescent="0.25">
      <c r="A24" s="1"/>
      <c r="B24" s="103" t="s">
        <v>62</v>
      </c>
      <c r="C24" s="104"/>
      <c r="D24" s="104"/>
      <c r="E24" s="104"/>
      <c r="F24" s="105"/>
      <c r="G24" s="47">
        <v>26178.744741930001</v>
      </c>
      <c r="H24" s="14" t="s">
        <v>3</v>
      </c>
      <c r="I24" s="1"/>
    </row>
    <row r="25" spans="1:9" x14ac:dyDescent="0.25">
      <c r="A25" s="1"/>
      <c r="B25" s="100" t="s">
        <v>63</v>
      </c>
      <c r="C25" s="101"/>
      <c r="D25" s="101"/>
      <c r="E25" s="101"/>
      <c r="F25" s="102"/>
      <c r="G25" s="22">
        <f>G23*'Fane 13. Nøgletal'!C23+G24*'Fane 13. Nøgletal'!C24</f>
        <v>212206.4688460133</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97" t="s">
        <v>119</v>
      </c>
      <c r="C28" s="98"/>
      <c r="D28" s="98"/>
      <c r="E28" s="98"/>
      <c r="F28" s="98"/>
      <c r="G28" s="98"/>
      <c r="H28" s="99"/>
      <c r="I28" s="1"/>
    </row>
    <row r="29" spans="1:9" x14ac:dyDescent="0.25">
      <c r="A29" s="1"/>
      <c r="B29" s="100" t="s">
        <v>64</v>
      </c>
      <c r="C29" s="101"/>
      <c r="D29" s="101"/>
      <c r="E29" s="101"/>
      <c r="F29" s="102"/>
      <c r="G29" s="22">
        <f>(G23+G24-G25)*(1+'Fane 13. Nøgletal'!C13)</f>
        <v>24414328.140395835</v>
      </c>
      <c r="H29" s="14" t="s">
        <v>3</v>
      </c>
      <c r="I29" s="1"/>
    </row>
    <row r="30" spans="1:9" x14ac:dyDescent="0.25">
      <c r="A30" s="1"/>
      <c r="B30" s="100" t="s">
        <v>113</v>
      </c>
      <c r="C30" s="101"/>
      <c r="D30" s="101"/>
      <c r="E30" s="101"/>
      <c r="F30" s="102"/>
      <c r="G30" s="47">
        <v>5755.9153831200001</v>
      </c>
      <c r="H30" s="14" t="s">
        <v>3</v>
      </c>
      <c r="I30" s="1"/>
    </row>
    <row r="31" spans="1:9" x14ac:dyDescent="0.25">
      <c r="A31" s="1"/>
      <c r="B31" s="100" t="s">
        <v>120</v>
      </c>
      <c r="C31" s="101"/>
      <c r="D31" s="101"/>
      <c r="E31" s="101"/>
      <c r="F31" s="102"/>
      <c r="G31" s="22">
        <f>(G29+G30)*'Fane 13. Nøgletal'!C25</f>
        <v>671552.31153392128</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97" t="s">
        <v>124</v>
      </c>
      <c r="C34" s="98"/>
      <c r="D34" s="98"/>
      <c r="E34" s="98"/>
      <c r="F34" s="98"/>
      <c r="G34" s="98"/>
      <c r="H34" s="99"/>
      <c r="I34" s="1"/>
    </row>
    <row r="35" spans="1:9" x14ac:dyDescent="0.25">
      <c r="A35" s="1"/>
      <c r="B35" s="100" t="s">
        <v>67</v>
      </c>
      <c r="C35" s="101"/>
      <c r="D35" s="101"/>
      <c r="E35" s="101"/>
      <c r="F35" s="102"/>
      <c r="G35" s="22">
        <f>(G29+G30-G31)*(1+'Fane 13. Nøgletal'!C13)</f>
        <v>24038263.831524823</v>
      </c>
      <c r="H35" s="14" t="s">
        <v>3</v>
      </c>
      <c r="I35" s="1"/>
    </row>
    <row r="36" spans="1:9" x14ac:dyDescent="0.25">
      <c r="A36" s="1"/>
      <c r="B36" s="100" t="s">
        <v>129</v>
      </c>
      <c r="C36" s="101"/>
      <c r="D36" s="101"/>
      <c r="E36" s="101"/>
      <c r="F36" s="102"/>
      <c r="G36" s="22">
        <v>20892.209021950002</v>
      </c>
      <c r="H36" s="14" t="s">
        <v>3</v>
      </c>
      <c r="I36" s="1"/>
    </row>
    <row r="37" spans="1:9" x14ac:dyDescent="0.25">
      <c r="A37" s="1"/>
      <c r="B37" s="100" t="s">
        <v>125</v>
      </c>
      <c r="C37" s="101"/>
      <c r="D37" s="101"/>
      <c r="E37" s="101"/>
      <c r="F37" s="102"/>
      <c r="G37" s="22">
        <f>G35*'Fane 13. Nøgletal'!C25+G36*'Fane 13. Nøgletal'!C26</f>
        <v>661361.46006045747</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97" t="s">
        <v>159</v>
      </c>
      <c r="C40" s="98"/>
      <c r="D40" s="98"/>
      <c r="E40" s="98"/>
      <c r="F40" s="98"/>
      <c r="G40" s="98"/>
      <c r="H40" s="99"/>
      <c r="I40" s="1"/>
    </row>
    <row r="41" spans="1:9" x14ac:dyDescent="0.25">
      <c r="A41" s="1"/>
      <c r="B41" s="100" t="s">
        <v>66</v>
      </c>
      <c r="C41" s="101"/>
      <c r="D41" s="101"/>
      <c r="E41" s="101"/>
      <c r="F41" s="102"/>
      <c r="G41" s="22">
        <f>(G35+G36-G37)*(1+'Fane 13. Nøgletal'!C15)</f>
        <v>24230756.067551628</v>
      </c>
      <c r="H41" s="14" t="s">
        <v>3</v>
      </c>
      <c r="I41" s="1"/>
    </row>
    <row r="42" spans="1:9" x14ac:dyDescent="0.25">
      <c r="A42" s="1"/>
      <c r="B42" s="100" t="s">
        <v>169</v>
      </c>
      <c r="C42" s="101"/>
      <c r="D42" s="101"/>
      <c r="E42" s="101"/>
      <c r="F42" s="102"/>
      <c r="G42" s="9">
        <v>61865.279661600005</v>
      </c>
      <c r="H42" s="14" t="s">
        <v>3</v>
      </c>
      <c r="I42" s="1"/>
    </row>
    <row r="43" spans="1:9" x14ac:dyDescent="0.25">
      <c r="A43" s="1"/>
      <c r="B43" s="100" t="s">
        <v>65</v>
      </c>
      <c r="C43" s="101"/>
      <c r="D43" s="101"/>
      <c r="E43" s="101"/>
      <c r="F43" s="102"/>
      <c r="G43" s="55">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97" t="s">
        <v>160</v>
      </c>
      <c r="C46" s="98"/>
      <c r="D46" s="98"/>
      <c r="E46" s="98"/>
      <c r="F46" s="98"/>
      <c r="G46" s="98"/>
      <c r="H46" s="99"/>
      <c r="I46" s="1"/>
    </row>
    <row r="47" spans="1:9" x14ac:dyDescent="0.25">
      <c r="A47" s="1"/>
      <c r="B47" s="100" t="s">
        <v>114</v>
      </c>
      <c r="C47" s="101"/>
      <c r="D47" s="101"/>
      <c r="E47" s="101"/>
      <c r="F47" s="102"/>
      <c r="G47" s="22">
        <f>(G41+G42-G43)*(1+'Fane 13. Nøgletal'!C15)</f>
        <v>25157438.667174019</v>
      </c>
      <c r="H47" s="14" t="s">
        <v>3</v>
      </c>
      <c r="I47" s="1"/>
    </row>
    <row r="48" spans="1:9" x14ac:dyDescent="0.25">
      <c r="A48" s="1"/>
      <c r="B48" s="100" t="s">
        <v>210</v>
      </c>
      <c r="C48" s="101"/>
      <c r="D48" s="101"/>
      <c r="E48" s="101"/>
      <c r="F48" s="102"/>
      <c r="G48" s="22">
        <f>('Fane 2.1. Økonomisk ramme 2024'!C10+'Fane 2.1. Økonomisk ramme 2024'!C12+'Fane 2.1. Økonomisk ramme 2024'!C14)*(1+'Fane 13. Nøgletal'!C16)</f>
        <v>82002.630528000009</v>
      </c>
      <c r="H48" s="14" t="s">
        <v>3</v>
      </c>
      <c r="I48" s="1"/>
    </row>
    <row r="49" spans="1:9" x14ac:dyDescent="0.25">
      <c r="A49" s="1"/>
      <c r="B49" s="100" t="s">
        <v>211</v>
      </c>
      <c r="C49" s="101"/>
      <c r="D49" s="101"/>
      <c r="E49" s="101"/>
      <c r="F49" s="102"/>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97" t="s">
        <v>130</v>
      </c>
      <c r="C52" s="98"/>
      <c r="D52" s="98"/>
      <c r="E52" s="98"/>
      <c r="F52" s="98"/>
      <c r="G52" s="98"/>
      <c r="H52" s="99"/>
      <c r="I52" s="1"/>
    </row>
    <row r="53" spans="1:9" x14ac:dyDescent="0.25">
      <c r="A53" s="1"/>
      <c r="B53" s="100" t="s">
        <v>131</v>
      </c>
      <c r="C53" s="101"/>
      <c r="D53" s="101"/>
      <c r="E53" s="101"/>
      <c r="F53" s="102"/>
      <c r="G53" s="22">
        <f>(G47+G48-G49)*(1+'Fane 13. Nøgletal'!C16)</f>
        <v>27278788.154556341</v>
      </c>
      <c r="H53" s="14" t="s">
        <v>3</v>
      </c>
      <c r="I53" s="1"/>
    </row>
    <row r="54" spans="1:9" x14ac:dyDescent="0.25">
      <c r="A54" s="1"/>
      <c r="B54" s="100" t="s">
        <v>132</v>
      </c>
      <c r="C54" s="101"/>
      <c r="D54" s="101"/>
      <c r="E54" s="101"/>
      <c r="F54" s="102"/>
      <c r="G54" s="55">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97" t="s">
        <v>147</v>
      </c>
      <c r="C57" s="98"/>
      <c r="D57" s="98"/>
      <c r="E57" s="98"/>
      <c r="F57" s="98"/>
      <c r="G57" s="98"/>
      <c r="H57" s="99"/>
      <c r="I57" s="1"/>
    </row>
    <row r="58" spans="1:9" x14ac:dyDescent="0.25">
      <c r="A58" s="1"/>
      <c r="B58" s="100" t="s">
        <v>148</v>
      </c>
      <c r="C58" s="101"/>
      <c r="D58" s="101"/>
      <c r="E58" s="101"/>
      <c r="F58" s="102"/>
      <c r="G58" s="22">
        <f>(G53-G54)*(1+'Fane 13. Nøgletal'!C16)</f>
        <v>29482914.237444494</v>
      </c>
      <c r="H58" s="14" t="s">
        <v>3</v>
      </c>
      <c r="I58" s="1"/>
    </row>
    <row r="59" spans="1:9" x14ac:dyDescent="0.25">
      <c r="A59" s="1"/>
      <c r="B59" s="100" t="s">
        <v>149</v>
      </c>
      <c r="C59" s="101"/>
      <c r="D59" s="101"/>
      <c r="E59" s="101"/>
      <c r="F59" s="102"/>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97" t="s">
        <v>223</v>
      </c>
      <c r="C62" s="98"/>
      <c r="D62" s="98"/>
      <c r="E62" s="98"/>
      <c r="F62" s="98"/>
      <c r="G62" s="98"/>
      <c r="H62" s="99"/>
      <c r="I62" s="1"/>
    </row>
    <row r="63" spans="1:9" x14ac:dyDescent="0.25">
      <c r="A63" s="1"/>
      <c r="B63" s="100" t="s">
        <v>224</v>
      </c>
      <c r="C63" s="101"/>
      <c r="D63" s="101"/>
      <c r="E63" s="101"/>
      <c r="F63" s="102"/>
      <c r="G63" s="22">
        <f>(G58-G59)*(1+'Fane 13. Nøgletal'!C16)</f>
        <v>31865133.707830008</v>
      </c>
      <c r="H63" s="14" t="s">
        <v>3</v>
      </c>
      <c r="I63" s="1"/>
    </row>
    <row r="64" spans="1:9" x14ac:dyDescent="0.25">
      <c r="A64" s="1"/>
      <c r="B64" s="100" t="s">
        <v>225</v>
      </c>
      <c r="C64" s="101"/>
      <c r="D64" s="101"/>
      <c r="E64" s="101"/>
      <c r="F64" s="102"/>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IgGY+4fES1Trqkya8HpK49RYbmmReIgMznkC0c9b2cZhFwtaGGijB6p+HYjCwtBtGahV0ycbTvUYzOb6jBDU7g==" saltValue="WrbUbtH9SrUEMW2wwW4usA=="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3" t="s">
        <v>77</v>
      </c>
      <c r="C3" s="93"/>
      <c r="D3" s="93"/>
      <c r="E3" s="93"/>
      <c r="F3" s="93"/>
      <c r="G3" s="93"/>
      <c r="H3" s="1"/>
    </row>
    <row r="4" spans="1:8" ht="15" customHeight="1" x14ac:dyDescent="0.25">
      <c r="A4" s="1"/>
      <c r="B4" s="93"/>
      <c r="C4" s="93"/>
      <c r="D4" s="93"/>
      <c r="E4" s="93"/>
      <c r="F4" s="93"/>
      <c r="G4" s="9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97" t="s">
        <v>9</v>
      </c>
      <c r="C8" s="98"/>
      <c r="D8" s="98"/>
      <c r="E8" s="98"/>
      <c r="F8" s="98"/>
      <c r="G8" s="99"/>
      <c r="H8" s="1"/>
    </row>
    <row r="9" spans="1:8" x14ac:dyDescent="0.25">
      <c r="A9" s="1"/>
      <c r="B9" s="61" t="s">
        <v>150</v>
      </c>
      <c r="C9" s="62"/>
      <c r="D9" s="62"/>
      <c r="E9" s="62"/>
      <c r="F9" s="63"/>
      <c r="G9" s="136">
        <v>1.5784807613508721E-2</v>
      </c>
      <c r="H9" s="1"/>
    </row>
    <row r="10" spans="1:8" x14ac:dyDescent="0.25">
      <c r="A10" s="1"/>
      <c r="B10" s="51"/>
      <c r="C10" s="52"/>
      <c r="D10" s="52"/>
      <c r="E10" s="52"/>
      <c r="F10" s="52"/>
      <c r="G10" s="19"/>
      <c r="H10" s="1"/>
    </row>
    <row r="11" spans="1:8" ht="15" customHeight="1" x14ac:dyDescent="0.25">
      <c r="A11" s="1"/>
      <c r="B11" s="109" t="s">
        <v>236</v>
      </c>
      <c r="C11" s="110"/>
      <c r="D11" s="110"/>
      <c r="E11" s="110"/>
      <c r="F11" s="110"/>
      <c r="G11" s="111"/>
      <c r="H11" s="1"/>
    </row>
    <row r="12" spans="1:8" ht="13.5" customHeight="1" x14ac:dyDescent="0.25">
      <c r="A12" s="1"/>
      <c r="B12" s="112"/>
      <c r="C12" s="113"/>
      <c r="D12" s="113"/>
      <c r="E12" s="113"/>
      <c r="F12" s="113"/>
      <c r="G12" s="11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NGlrfmvt4ipZPMT7ceHnah/Vz4XSm4E9eWy+le/Hgf23aCimA8YbsoDm9Rg6P8pLDAGNeWBN/QTYDne17Cbghw==" saltValue="TaoH+vNkW5RW8JC23tiwPw=="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2023-08-25T06:47:27Z</dcterms:modified>
</cp:coreProperties>
</file>