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lostrup Vand AS (V067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7" i="11" l="1"/>
  <c r="E11" i="11"/>
  <c r="E12" i="11"/>
  <c r="E13" i="11"/>
  <c r="E14" i="11"/>
  <c r="C15" i="19" l="1"/>
  <c r="E33" i="32" l="1"/>
  <c r="E39" i="32" s="1"/>
  <c r="E41" i="32" s="1"/>
  <c r="E16" i="27" l="1"/>
  <c r="E15" i="11" l="1"/>
  <c r="E16" i="11"/>
  <c r="E10" i="1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7" i="11"/>
  <c r="C10" i="37" s="1"/>
  <c r="C13" i="37" s="1"/>
  <c r="G17" i="11"/>
  <c r="C14" i="37" l="1"/>
  <c r="C10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0" i="37"/>
  <c r="E13" i="37" s="1"/>
  <c r="G35" i="30" l="1"/>
  <c r="G37" i="30" s="1"/>
  <c r="C18" i="2"/>
  <c r="E14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<sst xmlns="http://schemas.openxmlformats.org/spreadsheetml/2006/main" count="613" uniqueCount="255">
  <si>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</si>
  <si>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</si>
  <si>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</si>
  <si>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</si>
  <si>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</si>
  <si>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</si>
  <si>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</si>
  <si>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</si>
  <si>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</si>
  <si>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</si>
  <si>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</si>
  <si>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</si>
  <si>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</si>
  <si>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</si>
  <si>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</si>
  <si>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</si>
  <si>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</si>
  <si>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</si>
  <si>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</si>
  <si>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</si>
  <si>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</si>
  <si>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</si>
  <si>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</si>
  <si>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</si>
  <si>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</si>
  <si>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</si>
  <si>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</si>
  <si>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</si>
  <si>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</si>
  <si>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</si>
  <si>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</si>
  <si>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</si>
  <si>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</si>
  <si>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</si>
  <si>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</si>
  <si>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</si>
  <si>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</si>
  <si>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</si>
  <si>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</si>
  <si>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</si>
  <si>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</si>
  <si>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</si>
  <si>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</si>
  <si>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</si>
  <si>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</si>
  <si>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</si>
  <si>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</si>
  <si>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</si>
  <si>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</si>
  <si>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</si>
  <si>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</si>
  <si>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</si>
  <si>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</si>
  <si>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</si>
  <si>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</si>
  <si>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</si>
  <si>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</si>
  <si>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</si>
  <si>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</si>
  <si>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</si>
  <si>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</si>
  <si>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</si>
  <si>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</si>
  <si>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</si>
  <si>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</si>
  <si>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</si>
  <si>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</si>
  <si>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</si>
  <si>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</si>
  <si>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</si>
  <si>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</si>
  <si>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</si>
  <si>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</si>
  <si>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</si>
  <si>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</si>
  <si>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</si>
  <si>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</si>
  <si>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</si>
  <si>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</si>
  <si>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</si>
  <si>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</si>
  <si>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</si>
  <si>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</si>
  <si>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</si>
  <si>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</si>
  <si>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</si>
  <si>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</si>
  <si>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</si>
  <si>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</si>
  <si>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</si>
  <si>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</si>
  <si>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</si>
  <si>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</si>
  <si>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</si>
  <si>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</si>
  <si>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</si>
  <si>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</si>
  <si>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</si>
  <si>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</si>
  <si>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</si>
  <si>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</si>
  <si>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</si>
  <si>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</si>
  <si>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</si>
  <si>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</si>
  <si>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</si>
  <si>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</si>
  <si>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</si>
  <si>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</si>
  <si>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</si>
  <si>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</si>
  <si>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</si>
  <si>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</si>
  <si>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</si>
  <si>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</si>
  <si>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</si>
  <si>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</si>
  <si>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</si>
  <si>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</si>
  <si>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</si>
  <si>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</si>
  <si>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</si>
  <si>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</si>
  <si>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</si>
  <si>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</si>
  <si>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</si>
  <si>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</si>
  <si>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</si>
  <si>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</si>
  <si>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</si>
  <si>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</si>
  <si>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</si>
  <si>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</si>
  <si>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</si>
  <si>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</si>
  <si>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</si>
  <si>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</si>
  <si>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</si>
  <si>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</si>
  <si>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</si>
  <si>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</si>
  <si>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</si>
  <si>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</si>
  <si>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</si>
  <si>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</si>
  <si>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</si>
  <si>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</si>
  <si>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</si>
  <si>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</si>
  <si>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</si>
  <si>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</si>
  <si>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</si>
  <si>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</si>
  <si>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</si>
  <si>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</si>
  <si>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</si>
  <si>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</si>
  <si>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</si>
  <si>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</si>
  <si>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</si>
  <si>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</si>
  <si>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</si>
  <si>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</si>
  <si>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</si>
  <si>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</si>
  <si>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</si>
  <si>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</si>
  <si>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</si>
  <si>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</si>
  <si>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</si>
  <si>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</si>
  <si>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</si>
  <si>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</si>
  <si>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</si>
  <si>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</si>
  <si>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</si>
  <si>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</si>
  <si>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</si>
  <si>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</si>
  <si>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</si>
  <si>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</si>
  <si>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</si>
  <si>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</si>
  <si>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</si>
  <si>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</si>
  <si>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</si>
  <si>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</si>
  <si>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</si>
  <si>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</si>
  <si>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</si>
  <si>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</si>
  <si>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</si>
  <si>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</si>
  <si>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</si>
  <si>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</si>
  <si>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</si>
  <si>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</si>
  <si>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</si>
  <si>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</si>
  <si>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</si>
  <si>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</si>
  <si>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</si>
  <si>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</si>
  <si>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</si>
  <si>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</si>
  <si>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</si>
  <si>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</si>
  <si>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</si>
  <si>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</si>
  <si>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</si>
  <si>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</si>
  <si>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</si>
  <si>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</si>
  <si>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</si>
  <si>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</si>
  <si>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</si>
  <si>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</si>
  <si>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</si>
  <si>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</si>
  <si>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</si>
  <si>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</si>
  <si>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</si>
  <si>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</si>
  <si>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</si>
  <si>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</si>
  <si>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</si>
  <si>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</si>
  <si>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</si>
  <si>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</si>
  <si>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</si>
  <si>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</si>
  <si>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</si>
  <si>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</si>
  <si>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</si>
  <si>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</si>
  <si>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</si>
  <si>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</si>
  <si>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</si>
  <si>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</si>
  <si>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>Ingen tilknyttet virksomhed</t>
  </si>
  <si>
    <t>Ingen bortfald eller nedsættelse</t>
  </si>
  <si>
    <t xml:space="preserve">Udvidelse af forsyningsområde </t>
  </si>
  <si>
    <t xml:space="preserve">Flytning af ledninger </t>
  </si>
  <si>
    <t xml:space="preserve">Ingen engangstillæg </t>
  </si>
  <si>
    <t>Økonomisk ramme for 2024</t>
  </si>
  <si>
    <t>Etageareal vandbehandlingsbygning</t>
  </si>
  <si>
    <t>75</t>
  </si>
  <si>
    <t>Filteranlæg, åbne filtre, enkelt filtrering, Mek./EL</t>
  </si>
  <si>
    <t>25</t>
  </si>
  <si>
    <t>Råvandsstation komplet montering og boringshus/tørbrønd</t>
  </si>
  <si>
    <t>30</t>
  </si>
  <si>
    <t>Instrumenter (flowmåler+tryk transducer+alarmer)</t>
  </si>
  <si>
    <t>10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</si>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</sst>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7" t="s">
        <v>4</v>
      </c>
      <c r="E6" s="67"/>
      <c r="F6" s="67"/>
      <c r="G6" s="67"/>
      <c r="H6" s="3"/>
      <c r="I6" s="1"/>
    </row>
    <row r="7" spans="1:9" ht="15" customHeight="1" x14ac:dyDescent="0.45">
      <c r="A7" s="1"/>
      <c r="B7" s="1"/>
      <c r="C7" s="3"/>
      <c r="D7" s="67"/>
      <c r="E7" s="67"/>
      <c r="F7" s="67"/>
      <c r="G7" s="67"/>
      <c r="H7" s="3"/>
      <c r="I7" s="1"/>
    </row>
    <row r="8" spans="1:9" ht="15.75" x14ac:dyDescent="0.5">
      <c r="A8" s="1"/>
      <c r="B8" s="1"/>
      <c r="C8" s="4"/>
      <c r="D8" s="69" t="s">
        <v>206</v>
      </c>
      <c r="E8" s="69"/>
      <c r="F8" s="69"/>
      <c r="G8" s="6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4" t="s">
        <v>151</v>
      </c>
      <c r="E13" s="65"/>
      <c r="F13" s="65"/>
      <c r="G13" s="66"/>
      <c r="H13" s="1"/>
      <c r="I13" s="1"/>
    </row>
    <row r="14" spans="1:9" x14ac:dyDescent="0.45">
      <c r="A14" s="1"/>
      <c r="B14" s="1"/>
      <c r="C14" s="6" t="s">
        <v>15</v>
      </c>
      <c r="D14" s="64" t="s">
        <v>207</v>
      </c>
      <c r="E14" s="65"/>
      <c r="F14" s="65"/>
      <c r="G14" s="66"/>
      <c r="H14" s="1"/>
      <c r="I14" s="1"/>
    </row>
    <row r="15" spans="1:9" x14ac:dyDescent="0.45">
      <c r="A15" s="1"/>
      <c r="B15" s="1"/>
      <c r="C15" s="6" t="s">
        <v>40</v>
      </c>
      <c r="D15" s="64" t="s">
        <v>93</v>
      </c>
      <c r="E15" s="65"/>
      <c r="F15" s="65"/>
      <c r="G15" s="66"/>
      <c r="H15" s="1"/>
      <c r="I15" s="1"/>
    </row>
    <row r="16" spans="1:9" x14ac:dyDescent="0.45">
      <c r="A16" s="1"/>
      <c r="B16" s="1"/>
      <c r="C16" s="6" t="s">
        <v>41</v>
      </c>
      <c r="D16" s="64" t="s">
        <v>152</v>
      </c>
      <c r="E16" s="65"/>
      <c r="F16" s="65"/>
      <c r="G16" s="66"/>
      <c r="H16" s="1"/>
      <c r="I16" s="1"/>
    </row>
    <row r="17" spans="1:9" x14ac:dyDescent="0.45">
      <c r="A17" s="1"/>
      <c r="B17" s="1"/>
      <c r="C17" s="6" t="s">
        <v>150</v>
      </c>
      <c r="D17" s="64" t="s">
        <v>153</v>
      </c>
      <c r="E17" s="65"/>
      <c r="F17" s="65"/>
      <c r="G17" s="66"/>
      <c r="H17" s="1"/>
      <c r="I17" s="1"/>
    </row>
    <row r="18" spans="1:9" x14ac:dyDescent="0.45">
      <c r="A18" s="1"/>
      <c r="B18" s="1"/>
      <c r="C18" s="33" t="s">
        <v>134</v>
      </c>
      <c r="D18" s="70" t="s">
        <v>114</v>
      </c>
      <c r="E18" s="71"/>
      <c r="F18" s="71"/>
      <c r="G18" s="72"/>
      <c r="H18" s="1"/>
      <c r="I18" s="1"/>
    </row>
    <row r="19" spans="1:9" x14ac:dyDescent="0.45">
      <c r="A19" s="1"/>
      <c r="B19" s="1"/>
      <c r="C19" s="33" t="s">
        <v>135</v>
      </c>
      <c r="D19" s="70" t="s">
        <v>115</v>
      </c>
      <c r="E19" s="71"/>
      <c r="F19" s="71"/>
      <c r="G19" s="72"/>
      <c r="H19" s="1"/>
      <c r="I19" s="1"/>
    </row>
    <row r="20" spans="1:9" x14ac:dyDescent="0.45">
      <c r="A20" s="1"/>
      <c r="B20" s="1"/>
      <c r="C20" s="33" t="s">
        <v>7</v>
      </c>
      <c r="D20" s="70" t="s">
        <v>9</v>
      </c>
      <c r="E20" s="71"/>
      <c r="F20" s="71"/>
      <c r="G20" s="72"/>
      <c r="H20" s="1"/>
      <c r="I20" s="1"/>
    </row>
    <row r="21" spans="1:9" x14ac:dyDescent="0.45">
      <c r="A21" s="1"/>
      <c r="B21" s="1"/>
      <c r="C21" s="6" t="s">
        <v>136</v>
      </c>
      <c r="D21" s="61" t="s">
        <v>12</v>
      </c>
      <c r="E21" s="62"/>
      <c r="F21" s="62"/>
      <c r="G21" s="63"/>
      <c r="H21" s="1"/>
      <c r="I21" s="1"/>
    </row>
    <row r="22" spans="1:9" x14ac:dyDescent="0.45">
      <c r="A22" s="1"/>
      <c r="B22" s="1"/>
      <c r="C22" s="6" t="s">
        <v>97</v>
      </c>
      <c r="D22" s="55" t="s">
        <v>154</v>
      </c>
      <c r="E22" s="56"/>
      <c r="F22" s="56"/>
      <c r="G22" s="57"/>
      <c r="H22" s="1"/>
      <c r="I22" s="1"/>
    </row>
    <row r="23" spans="1:9" x14ac:dyDescent="0.45">
      <c r="A23" s="1"/>
      <c r="B23" s="1"/>
      <c r="C23" s="6" t="s">
        <v>8</v>
      </c>
      <c r="D23" s="55" t="s">
        <v>42</v>
      </c>
      <c r="E23" s="56"/>
      <c r="F23" s="56"/>
      <c r="G23" s="57"/>
      <c r="H23" s="1"/>
      <c r="I23" s="1"/>
    </row>
    <row r="24" spans="1:9" x14ac:dyDescent="0.45">
      <c r="A24" s="1"/>
      <c r="B24" s="1"/>
      <c r="C24" s="6" t="s">
        <v>217</v>
      </c>
      <c r="D24" s="55" t="s">
        <v>98</v>
      </c>
      <c r="E24" s="56"/>
      <c r="F24" s="56"/>
      <c r="G24" s="57"/>
      <c r="H24" s="1"/>
      <c r="I24" s="1"/>
    </row>
    <row r="25" spans="1:9" x14ac:dyDescent="0.45">
      <c r="A25" s="1"/>
      <c r="B25" s="1"/>
      <c r="C25" s="6" t="s">
        <v>218</v>
      </c>
      <c r="D25" s="55" t="s">
        <v>99</v>
      </c>
      <c r="E25" s="56"/>
      <c r="F25" s="56"/>
      <c r="G25" s="57"/>
      <c r="H25" s="1"/>
      <c r="I25" s="1"/>
    </row>
    <row r="26" spans="1:9" x14ac:dyDescent="0.45">
      <c r="A26" s="1"/>
      <c r="B26" s="1"/>
      <c r="C26" s="6" t="s">
        <v>219</v>
      </c>
      <c r="D26" s="55" t="s">
        <v>155</v>
      </c>
      <c r="E26" s="56"/>
      <c r="F26" s="56"/>
      <c r="G26" s="57"/>
      <c r="H26" s="1"/>
      <c r="I26" s="1"/>
    </row>
    <row r="27" spans="1:9" x14ac:dyDescent="0.45">
      <c r="A27" s="1"/>
      <c r="B27" s="1"/>
      <c r="C27" s="6" t="s">
        <v>137</v>
      </c>
      <c r="D27" s="55" t="s">
        <v>43</v>
      </c>
      <c r="E27" s="56"/>
      <c r="F27" s="56"/>
      <c r="G27" s="57"/>
      <c r="H27" s="1"/>
      <c r="I27" s="1"/>
    </row>
    <row r="28" spans="1:9" x14ac:dyDescent="0.45">
      <c r="A28" s="1"/>
      <c r="B28" s="1"/>
      <c r="C28" s="6" t="s">
        <v>128</v>
      </c>
      <c r="D28" s="58" t="s">
        <v>129</v>
      </c>
      <c r="E28" s="59"/>
      <c r="F28" s="59"/>
      <c r="G28" s="60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sT69iUtd8/OPQ5Zx/xu0dnYNC/fZRn1FAMGOuJI3YWh2Yl1Ox32IWnSPkZbTp56qlOx0ZzwxzbHZ7tdRmwqLA==" saltValue="BkkR1MOx2TYt3c5DIbeqB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140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6" t="s">
        <v>168</v>
      </c>
      <c r="C8" s="97"/>
      <c r="D8" s="98"/>
      <c r="E8" s="1"/>
      <c r="F8" s="1"/>
    </row>
    <row r="9" spans="1:6" ht="15" customHeight="1" x14ac:dyDescent="0.45">
      <c r="A9" s="1"/>
      <c r="B9" s="43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52" t="s">
        <v>234</v>
      </c>
      <c r="C10" s="9">
        <v>8807016</v>
      </c>
      <c r="D10" s="14" t="s">
        <v>3</v>
      </c>
      <c r="E10" s="1"/>
      <c r="F10" s="1"/>
    </row>
    <row r="11" spans="1:6" ht="15" customHeight="1" x14ac:dyDescent="0.45">
      <c r="A11" s="1"/>
      <c r="B11" s="52" t="s">
        <v>235</v>
      </c>
      <c r="C11" s="9">
        <v>62342</v>
      </c>
      <c r="D11" s="14" t="s">
        <v>3</v>
      </c>
      <c r="E11" s="1"/>
      <c r="F11" s="1"/>
    </row>
    <row r="12" spans="1:6" x14ac:dyDescent="0.45">
      <c r="A12" s="1"/>
      <c r="B12" s="52" t="s">
        <v>236</v>
      </c>
      <c r="C12" s="9">
        <v>535421</v>
      </c>
      <c r="D12" s="14" t="s">
        <v>3</v>
      </c>
      <c r="E12" s="1"/>
      <c r="F12" s="1"/>
    </row>
    <row r="13" spans="1:6" x14ac:dyDescent="0.45">
      <c r="A13" s="1"/>
      <c r="B13" s="52" t="s">
        <v>237</v>
      </c>
      <c r="C13" s="9">
        <v>197138</v>
      </c>
      <c r="D13" s="14" t="s">
        <v>3</v>
      </c>
      <c r="E13" s="1"/>
      <c r="F13" s="1"/>
    </row>
    <row r="14" spans="1:6" x14ac:dyDescent="0.45">
      <c r="A14" s="1"/>
      <c r="B14" s="52" t="s">
        <v>238</v>
      </c>
      <c r="C14" s="9">
        <v>558368</v>
      </c>
      <c r="D14" s="14" t="s">
        <v>3</v>
      </c>
      <c r="E14" s="1"/>
      <c r="F14" s="1"/>
    </row>
    <row r="15" spans="1:6" x14ac:dyDescent="0.45">
      <c r="A15" s="1"/>
      <c r="B15" s="48" t="s">
        <v>169</v>
      </c>
      <c r="C15" s="12">
        <f>SUM(C10:C14)</f>
        <v>10160285</v>
      </c>
      <c r="D15" s="13" t="s">
        <v>3</v>
      </c>
      <c r="E15" s="1"/>
      <c r="F15" s="1"/>
    </row>
    <row r="16" spans="1:6" x14ac:dyDescent="0.45">
      <c r="A16" s="1"/>
      <c r="B16" s="48" t="s">
        <v>170</v>
      </c>
      <c r="C16" s="12">
        <f>C15*(1+'Fane 12. Nøgletal'!C13)^2</f>
        <v>10409708.210819401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QGqAPloXVXdsOe3dmb3+BFVSvgU2LYbHAv7Labj/oPnWYV/IgUemK/AJAxDo1N857+hEhtnUoFOVS8n3oidopw==" saltValue="oXPo71rv8DVG6Gs3BbWOS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3" t="s">
        <v>172</v>
      </c>
      <c r="C3" s="83"/>
      <c r="D3" s="83"/>
      <c r="E3" s="83"/>
      <c r="F3" s="83"/>
      <c r="G3" s="1"/>
    </row>
    <row r="4" spans="1:7" ht="15" customHeight="1" x14ac:dyDescent="0.45">
      <c r="A4" s="1"/>
      <c r="B4" s="83"/>
      <c r="C4" s="83"/>
      <c r="D4" s="83"/>
      <c r="E4" s="83"/>
      <c r="F4" s="83"/>
      <c r="G4" s="1"/>
    </row>
    <row r="5" spans="1:7" ht="15" customHeight="1" x14ac:dyDescent="0.45">
      <c r="A5" s="1"/>
      <c r="B5" s="50"/>
      <c r="C5" s="50"/>
      <c r="D5" s="50"/>
      <c r="E5" s="50"/>
      <c r="F5" s="50"/>
      <c r="G5" s="1"/>
    </row>
    <row r="6" spans="1:7" ht="15" customHeight="1" x14ac:dyDescent="0.45">
      <c r="A6" s="1"/>
      <c r="B6" s="96" t="s">
        <v>39</v>
      </c>
      <c r="C6" s="97"/>
      <c r="D6" s="97"/>
      <c r="E6" s="97"/>
      <c r="F6" s="98"/>
      <c r="G6" s="1"/>
    </row>
    <row r="7" spans="1:7" ht="15" customHeight="1" x14ac:dyDescent="0.45">
      <c r="A7" s="1"/>
      <c r="B7" s="99" t="s">
        <v>37</v>
      </c>
      <c r="C7" s="100"/>
      <c r="D7" s="101"/>
      <c r="E7" s="9">
        <v>754754.6</v>
      </c>
      <c r="F7" s="14" t="s">
        <v>3</v>
      </c>
      <c r="G7" s="1"/>
    </row>
    <row r="8" spans="1:7" ht="15" customHeight="1" x14ac:dyDescent="0.45">
      <c r="A8" s="1"/>
      <c r="B8" s="99" t="s">
        <v>38</v>
      </c>
      <c r="C8" s="100"/>
      <c r="D8" s="101"/>
      <c r="E8" s="9">
        <v>405412.89212267846</v>
      </c>
      <c r="F8" s="14" t="s">
        <v>3</v>
      </c>
      <c r="G8" s="1"/>
    </row>
    <row r="9" spans="1:7" ht="15" customHeight="1" x14ac:dyDescent="0.45">
      <c r="A9" s="1"/>
      <c r="B9" s="107" t="s">
        <v>131</v>
      </c>
      <c r="C9" s="108"/>
      <c r="D9" s="109"/>
      <c r="E9" s="10">
        <f>SUM(E7:E8)</f>
        <v>1160167.4921226786</v>
      </c>
      <c r="F9" s="17" t="s">
        <v>3</v>
      </c>
      <c r="G9" s="1"/>
    </row>
    <row r="10" spans="1:7" ht="15" customHeight="1" x14ac:dyDescent="0.45">
      <c r="A10" s="1"/>
      <c r="B10" s="48"/>
      <c r="C10" s="49"/>
      <c r="D10" s="49"/>
      <c r="E10" s="49"/>
      <c r="F10" s="20"/>
      <c r="G10" s="1"/>
    </row>
    <row r="11" spans="1:7" ht="28.5" customHeight="1" x14ac:dyDescent="0.45">
      <c r="A11" s="1"/>
      <c r="B11" s="87" t="s">
        <v>132</v>
      </c>
      <c r="C11" s="88"/>
      <c r="D11" s="88"/>
      <c r="E11" s="88"/>
      <c r="F11" s="89"/>
      <c r="G11" s="1"/>
    </row>
    <row r="12" spans="1:7" ht="28.5" customHeight="1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96" t="s">
        <v>116</v>
      </c>
      <c r="C13" s="97"/>
      <c r="D13" s="97"/>
      <c r="E13" s="97"/>
      <c r="F13" s="98"/>
      <c r="G13" s="1"/>
    </row>
    <row r="14" spans="1:7" x14ac:dyDescent="0.45">
      <c r="A14" s="1"/>
      <c r="B14" s="99" t="s">
        <v>117</v>
      </c>
      <c r="C14" s="100"/>
      <c r="D14" s="101"/>
      <c r="E14" s="9">
        <v>25241220.421801552</v>
      </c>
      <c r="F14" s="14" t="s">
        <v>3</v>
      </c>
      <c r="G14" s="1"/>
    </row>
    <row r="15" spans="1:7" x14ac:dyDescent="0.45">
      <c r="A15" s="1"/>
      <c r="B15" s="99" t="s">
        <v>118</v>
      </c>
      <c r="C15" s="100"/>
      <c r="D15" s="101"/>
      <c r="E15" s="9">
        <v>24688088</v>
      </c>
      <c r="F15" s="14" t="s">
        <v>3</v>
      </c>
      <c r="G15" s="1"/>
    </row>
    <row r="16" spans="1:7" x14ac:dyDescent="0.45">
      <c r="A16" s="1"/>
      <c r="B16" s="99" t="s">
        <v>36</v>
      </c>
      <c r="C16" s="100"/>
      <c r="D16" s="101"/>
      <c r="E16" s="9">
        <v>0</v>
      </c>
      <c r="F16" s="14" t="s">
        <v>3</v>
      </c>
      <c r="G16" s="1"/>
    </row>
    <row r="17" spans="1:7" x14ac:dyDescent="0.45">
      <c r="A17" s="1"/>
      <c r="B17" s="107" t="s">
        <v>208</v>
      </c>
      <c r="C17" s="108"/>
      <c r="D17" s="109"/>
      <c r="E17" s="10">
        <f>E14-(E15-E16)</f>
        <v>553132.42180155218</v>
      </c>
      <c r="F17" s="17" t="s">
        <v>3</v>
      </c>
      <c r="G17" s="1"/>
    </row>
    <row r="18" spans="1:7" x14ac:dyDescent="0.45">
      <c r="A18" s="1"/>
      <c r="B18" s="48"/>
      <c r="C18" s="49"/>
      <c r="D18" s="49"/>
      <c r="E18" s="49"/>
      <c r="F18" s="20"/>
      <c r="G18" s="1"/>
    </row>
    <row r="19" spans="1:7" ht="30" customHeight="1" x14ac:dyDescent="0.45">
      <c r="A19" s="1"/>
      <c r="B19" s="87" t="s">
        <v>133</v>
      </c>
      <c r="C19" s="88"/>
      <c r="D19" s="88"/>
      <c r="E19" s="88"/>
      <c r="F19" s="89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96" t="s">
        <v>50</v>
      </c>
      <c r="C21" s="97"/>
      <c r="D21" s="97"/>
      <c r="E21" s="97"/>
      <c r="F21" s="98"/>
      <c r="G21" s="1"/>
    </row>
    <row r="22" spans="1:7" x14ac:dyDescent="0.45">
      <c r="A22" s="1"/>
      <c r="B22" s="99" t="s">
        <v>51</v>
      </c>
      <c r="C22" s="100"/>
      <c r="D22" s="101"/>
      <c r="E22" s="9">
        <v>23063303.468700543</v>
      </c>
      <c r="F22" s="14" t="s">
        <v>3</v>
      </c>
      <c r="G22" s="1"/>
    </row>
    <row r="23" spans="1:7" x14ac:dyDescent="0.45">
      <c r="A23" s="1"/>
      <c r="B23" s="99" t="s">
        <v>52</v>
      </c>
      <c r="C23" s="100"/>
      <c r="D23" s="101"/>
      <c r="E23" s="9">
        <v>24204184</v>
      </c>
      <c r="F23" s="14" t="s">
        <v>3</v>
      </c>
      <c r="G23" s="1"/>
    </row>
    <row r="24" spans="1:7" x14ac:dyDescent="0.45">
      <c r="A24" s="1"/>
      <c r="B24" s="99" t="s">
        <v>36</v>
      </c>
      <c r="C24" s="100"/>
      <c r="D24" s="101"/>
      <c r="E24" s="9">
        <v>0</v>
      </c>
      <c r="F24" s="14" t="s">
        <v>3</v>
      </c>
      <c r="G24" s="1"/>
    </row>
    <row r="25" spans="1:7" x14ac:dyDescent="0.45">
      <c r="A25" s="1"/>
      <c r="B25" s="107" t="s">
        <v>209</v>
      </c>
      <c r="C25" s="108"/>
      <c r="D25" s="109"/>
      <c r="E25" s="10">
        <f>E22-(E23-E24)</f>
        <v>-1140880.531299457</v>
      </c>
      <c r="F25" s="17" t="s">
        <v>3</v>
      </c>
      <c r="G25" s="1"/>
    </row>
    <row r="26" spans="1:7" x14ac:dyDescent="0.45">
      <c r="A26" s="1"/>
      <c r="B26" s="48"/>
      <c r="C26" s="49"/>
      <c r="D26" s="49"/>
      <c r="E26" s="49"/>
      <c r="F26" s="20"/>
      <c r="G26" s="1"/>
    </row>
    <row r="27" spans="1:7" ht="28.5" customHeight="1" x14ac:dyDescent="0.45">
      <c r="A27" s="1"/>
      <c r="B27" s="87" t="s">
        <v>179</v>
      </c>
      <c r="C27" s="88"/>
      <c r="D27" s="88"/>
      <c r="E27" s="88"/>
      <c r="F27" s="89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200</v>
      </c>
      <c r="C29" s="97"/>
      <c r="D29" s="97"/>
      <c r="E29" s="97"/>
      <c r="F29" s="98"/>
      <c r="G29" s="1"/>
    </row>
    <row r="30" spans="1:7" x14ac:dyDescent="0.45">
      <c r="A30" s="1"/>
      <c r="B30" s="99" t="s">
        <v>201</v>
      </c>
      <c r="C30" s="100"/>
      <c r="D30" s="101"/>
      <c r="E30" s="9">
        <v>20880926.962649211</v>
      </c>
      <c r="F30" s="14" t="s">
        <v>3</v>
      </c>
      <c r="G30" s="1"/>
    </row>
    <row r="31" spans="1:7" x14ac:dyDescent="0.45">
      <c r="A31" s="1"/>
      <c r="B31" s="99" t="s">
        <v>202</v>
      </c>
      <c r="C31" s="100"/>
      <c r="D31" s="101"/>
      <c r="E31" s="9">
        <v>21455979</v>
      </c>
      <c r="F31" s="14" t="s">
        <v>3</v>
      </c>
      <c r="G31" s="1"/>
    </row>
    <row r="32" spans="1:7" x14ac:dyDescent="0.45">
      <c r="A32" s="1"/>
      <c r="B32" s="99" t="s">
        <v>36</v>
      </c>
      <c r="C32" s="100"/>
      <c r="D32" s="101"/>
      <c r="E32" s="9">
        <v>0</v>
      </c>
      <c r="F32" s="14" t="s">
        <v>3</v>
      </c>
      <c r="G32" s="1"/>
    </row>
    <row r="33" spans="1:7" x14ac:dyDescent="0.45">
      <c r="A33" s="1"/>
      <c r="B33" s="107" t="s">
        <v>210</v>
      </c>
      <c r="C33" s="108"/>
      <c r="D33" s="109"/>
      <c r="E33" s="10">
        <f>E30-(E31-E32)</f>
        <v>-575052.03735078871</v>
      </c>
      <c r="F33" s="17" t="s">
        <v>3</v>
      </c>
      <c r="G33" s="1"/>
    </row>
    <row r="34" spans="1:7" x14ac:dyDescent="0.45">
      <c r="A34" s="1"/>
      <c r="B34" s="48"/>
      <c r="C34" s="49"/>
      <c r="D34" s="49"/>
      <c r="E34" s="49"/>
      <c r="F34" s="20"/>
      <c r="G34" s="1"/>
    </row>
    <row r="35" spans="1:7" ht="28.5" customHeight="1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6" t="s">
        <v>125</v>
      </c>
      <c r="C36" s="97"/>
      <c r="D36" s="97"/>
      <c r="E36" s="97"/>
      <c r="F36" s="98"/>
      <c r="G36" s="1"/>
    </row>
    <row r="37" spans="1:7" x14ac:dyDescent="0.45">
      <c r="A37" s="1"/>
      <c r="B37" s="110" t="s">
        <v>253</v>
      </c>
      <c r="C37" s="111"/>
      <c r="D37" s="112"/>
      <c r="E37" s="9">
        <v>1</v>
      </c>
      <c r="F37" s="14"/>
      <c r="G37" s="1"/>
    </row>
    <row r="38" spans="1:7" x14ac:dyDescent="0.45">
      <c r="A38" s="1"/>
      <c r="B38" s="110" t="s">
        <v>254</v>
      </c>
      <c r="C38" s="111"/>
      <c r="D38" s="112"/>
      <c r="E38" s="9">
        <v>0</v>
      </c>
      <c r="F38" s="14"/>
      <c r="G38" s="1"/>
    </row>
    <row r="39" spans="1:7" x14ac:dyDescent="0.45">
      <c r="A39" s="1"/>
      <c r="B39" s="110" t="s">
        <v>113</v>
      </c>
      <c r="C39" s="111"/>
      <c r="D39" s="112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-1162800.1468486935</v>
      </c>
      <c r="F39" s="14" t="s">
        <v>3</v>
      </c>
      <c r="G39" s="1"/>
    </row>
    <row r="40" spans="1:7" x14ac:dyDescent="0.45">
      <c r="A40" s="1"/>
      <c r="B40" s="110" t="s">
        <v>130</v>
      </c>
      <c r="C40" s="111"/>
      <c r="D40" s="112"/>
      <c r="E40" s="9">
        <v>2</v>
      </c>
      <c r="F40" s="14" t="s">
        <v>19</v>
      </c>
      <c r="G40" s="1"/>
    </row>
    <row r="41" spans="1:7" ht="15" customHeight="1" x14ac:dyDescent="0.45">
      <c r="A41" s="1"/>
      <c r="B41" s="113" t="s">
        <v>203</v>
      </c>
      <c r="C41" s="113"/>
      <c r="D41" s="113"/>
      <c r="E41" s="10">
        <f>E39/E40</f>
        <v>-581400.07342434675</v>
      </c>
      <c r="F41" s="17" t="s">
        <v>3</v>
      </c>
      <c r="G41" s="1"/>
    </row>
    <row r="42" spans="1:7" x14ac:dyDescent="0.45">
      <c r="A42" s="1"/>
      <c r="B42" s="96"/>
      <c r="C42" s="97"/>
      <c r="D42" s="97"/>
      <c r="E42" s="97"/>
      <c r="F42" s="98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  <row r="48" spans="1:7" x14ac:dyDescent="0.45">
      <c r="A48" s="37"/>
      <c r="B48" s="37"/>
      <c r="C48" s="37"/>
      <c r="D48" s="37"/>
      <c r="E48" s="37"/>
      <c r="F48" s="37"/>
      <c r="G48" s="37"/>
    </row>
    <row r="49" spans="1:7" x14ac:dyDescent="0.45">
      <c r="A49" s="37"/>
      <c r="B49" s="37"/>
      <c r="C49" s="37"/>
      <c r="D49" s="37"/>
      <c r="E49" s="37"/>
      <c r="F49" s="37"/>
      <c r="G49" s="37"/>
    </row>
  </sheetData>
  <sheetProtection algorithmName="SHA-512" hashValue="ye1JFzkPNjBofA+6FgUm4S3SevVkDnPHv/WZFCkdUa7j+yHRsKpPfOz29crJh/7TtakPC4rMKm+Ez+5FqOF9VQ==" saltValue="/vJJWfHxWW1rYy6qMsJJIw==" spinCount="100000" sheet="1" objects="1" scenarios="1"/>
  <mergeCells count="30"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2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5"/>
      <c r="I9" s="1"/>
    </row>
    <row r="10" spans="1:9" ht="26.65" x14ac:dyDescent="0.45">
      <c r="A10" s="1"/>
      <c r="B10" s="39" t="s">
        <v>245</v>
      </c>
      <c r="C10" s="40" t="s">
        <v>246</v>
      </c>
      <c r="D10" s="9">
        <v>456901</v>
      </c>
      <c r="E10" s="9">
        <f>IFERROR(D10/C10,0)</f>
        <v>6092.0133333333333</v>
      </c>
      <c r="F10" s="9">
        <v>0</v>
      </c>
      <c r="G10" s="9">
        <v>11520</v>
      </c>
      <c r="H10" s="14" t="s">
        <v>3</v>
      </c>
      <c r="I10" s="1"/>
    </row>
    <row r="11" spans="1:9" ht="26.65" x14ac:dyDescent="0.45">
      <c r="A11" s="1"/>
      <c r="B11" s="39" t="s">
        <v>247</v>
      </c>
      <c r="C11" s="40" t="s">
        <v>248</v>
      </c>
      <c r="D11" s="9">
        <v>228309</v>
      </c>
      <c r="E11" s="9">
        <f t="shared" ref="E11:E14" si="0">IFERROR(D11/C11,0)</f>
        <v>9132.36</v>
      </c>
      <c r="F11" s="9">
        <v>0</v>
      </c>
      <c r="G11" s="9">
        <v>5756</v>
      </c>
      <c r="H11" s="14" t="s">
        <v>3</v>
      </c>
      <c r="I11" s="1"/>
    </row>
    <row r="12" spans="1:9" ht="26.65" x14ac:dyDescent="0.45">
      <c r="A12" s="1"/>
      <c r="B12" s="39" t="s">
        <v>247</v>
      </c>
      <c r="C12" s="40" t="s">
        <v>248</v>
      </c>
      <c r="D12" s="9">
        <v>421444</v>
      </c>
      <c r="E12" s="9">
        <f t="shared" si="0"/>
        <v>16857.759999999998</v>
      </c>
      <c r="F12" s="9">
        <v>0</v>
      </c>
      <c r="G12" s="9">
        <v>10626</v>
      </c>
      <c r="H12" s="14" t="s">
        <v>3</v>
      </c>
      <c r="I12" s="1"/>
    </row>
    <row r="13" spans="1:9" ht="39.75" x14ac:dyDescent="0.45">
      <c r="A13" s="1"/>
      <c r="B13" s="39" t="s">
        <v>249</v>
      </c>
      <c r="C13" s="40" t="s">
        <v>250</v>
      </c>
      <c r="D13" s="9">
        <v>614116</v>
      </c>
      <c r="E13" s="9">
        <f t="shared" si="0"/>
        <v>20470.533333333333</v>
      </c>
      <c r="F13" s="9">
        <v>0</v>
      </c>
      <c r="G13" s="9">
        <v>15484</v>
      </c>
      <c r="H13" s="14" t="s">
        <v>3</v>
      </c>
      <c r="I13" s="1"/>
    </row>
    <row r="14" spans="1:9" ht="26.65" x14ac:dyDescent="0.45">
      <c r="A14" s="1"/>
      <c r="B14" s="39" t="s">
        <v>251</v>
      </c>
      <c r="C14" s="40" t="s">
        <v>252</v>
      </c>
      <c r="D14" s="9">
        <v>596117</v>
      </c>
      <c r="E14" s="9">
        <f t="shared" si="0"/>
        <v>59611.7</v>
      </c>
      <c r="F14" s="9">
        <v>0</v>
      </c>
      <c r="G14" s="9">
        <v>15030</v>
      </c>
      <c r="H14" s="14" t="s">
        <v>3</v>
      </c>
      <c r="I14" s="1"/>
    </row>
    <row r="15" spans="1:9" ht="39.75" x14ac:dyDescent="0.45">
      <c r="A15" s="1"/>
      <c r="B15" s="39" t="s">
        <v>249</v>
      </c>
      <c r="C15" s="40" t="s">
        <v>250</v>
      </c>
      <c r="D15" s="9">
        <v>211992</v>
      </c>
      <c r="E15" s="9">
        <f t="shared" ref="E15:E16" si="1">IFERROR(D15/C15,0)</f>
        <v>7066.4</v>
      </c>
      <c r="F15" s="9">
        <v>0</v>
      </c>
      <c r="G15" s="9">
        <v>5345</v>
      </c>
      <c r="H15" s="14" t="s">
        <v>3</v>
      </c>
      <c r="I15" s="1"/>
    </row>
    <row r="16" spans="1:9" ht="39.75" x14ac:dyDescent="0.45">
      <c r="A16" s="1"/>
      <c r="B16" s="39" t="s">
        <v>249</v>
      </c>
      <c r="C16" s="40" t="s">
        <v>250</v>
      </c>
      <c r="D16" s="9">
        <v>162048</v>
      </c>
      <c r="E16" s="9">
        <f t="shared" si="1"/>
        <v>5401.6</v>
      </c>
      <c r="F16" s="9">
        <v>0</v>
      </c>
      <c r="G16" s="9">
        <v>4087</v>
      </c>
      <c r="H16" s="14" t="s">
        <v>3</v>
      </c>
      <c r="I16" s="1"/>
    </row>
    <row r="17" spans="1:9" x14ac:dyDescent="0.45">
      <c r="A17" s="1"/>
      <c r="B17" s="96" t="s">
        <v>198</v>
      </c>
      <c r="C17" s="97"/>
      <c r="D17" s="98"/>
      <c r="E17" s="12">
        <f>SUM(E10:E16)</f>
        <v>124632.36666666667</v>
      </c>
      <c r="F17" s="12">
        <f t="shared" ref="F17:G17" si="2">SUM(F10:F16)</f>
        <v>0</v>
      </c>
      <c r="G17" s="12">
        <f t="shared" si="2"/>
        <v>67848</v>
      </c>
      <c r="H17" s="13" t="s">
        <v>3</v>
      </c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1"/>
      <c r="C52" s="1"/>
      <c r="D52" s="1"/>
      <c r="E52" s="1"/>
      <c r="F52" s="1"/>
      <c r="G52" s="1"/>
      <c r="H52" s="1"/>
      <c r="I52" s="1"/>
    </row>
  </sheetData>
  <sheetProtection algorithmName="SHA-512" hashValue="cWpvVOihhadxpGhsShfHviHspPpjZsQbrqszTEf4H39IaH7z3QuHS8vL8nyTVlfrBKrqG4PfEpr7+4RsHi1fOw==" saltValue="cDUX9aW8aiEkiGbL5L4wDA==" spinCount="100000" sheet="1" objects="1" scenarios="1"/>
  <mergeCells count="3">
    <mergeCell ref="B3:H4"/>
    <mergeCell ref="B17:D17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8" t="s">
        <v>94</v>
      </c>
      <c r="C8" s="49"/>
      <c r="D8" s="49"/>
      <c r="E8" s="49"/>
      <c r="F8" s="20"/>
      <c r="G8" s="1"/>
    </row>
    <row r="9" spans="1:7" ht="17.25" customHeight="1" x14ac:dyDescent="0.45">
      <c r="A9" s="1"/>
      <c r="B9" s="46" t="s">
        <v>16</v>
      </c>
      <c r="C9" s="46" t="s">
        <v>11</v>
      </c>
      <c r="D9" s="47"/>
      <c r="E9" s="46" t="s">
        <v>34</v>
      </c>
      <c r="F9" s="45"/>
      <c r="G9" s="1"/>
    </row>
    <row r="10" spans="1:7" x14ac:dyDescent="0.45">
      <c r="A10" s="1"/>
      <c r="B10" s="25" t="s">
        <v>44</v>
      </c>
      <c r="C10" s="22">
        <f>'Fane 8. Anlægsprojekter'!F17</f>
        <v>0</v>
      </c>
      <c r="D10" s="14" t="s">
        <v>3</v>
      </c>
      <c r="E10" s="9">
        <f>SUM('Fane 8. Anlægsprojekter'!E17,'Fane 8. Anlægsprojekter'!G17)</f>
        <v>192480.36666666667</v>
      </c>
      <c r="F10" s="14" t="s">
        <v>3</v>
      </c>
      <c r="G10" s="1"/>
    </row>
    <row r="11" spans="1:7" x14ac:dyDescent="0.45">
      <c r="A11" s="1"/>
      <c r="B11" s="41" t="s">
        <v>241</v>
      </c>
      <c r="C11" s="22">
        <v>34880</v>
      </c>
      <c r="D11" s="14" t="s">
        <v>3</v>
      </c>
      <c r="E11" s="9">
        <v>30063</v>
      </c>
      <c r="F11" s="14" t="s">
        <v>3</v>
      </c>
      <c r="G11" s="1"/>
    </row>
    <row r="12" spans="1:7" x14ac:dyDescent="0.45">
      <c r="A12" s="1"/>
      <c r="B12" s="25" t="s">
        <v>242</v>
      </c>
      <c r="C12" s="22">
        <v>0</v>
      </c>
      <c r="D12" s="14" t="s">
        <v>3</v>
      </c>
      <c r="E12" s="9">
        <v>91907</v>
      </c>
      <c r="F12" s="14" t="s">
        <v>3</v>
      </c>
      <c r="G12" s="1"/>
    </row>
    <row r="13" spans="1:7" x14ac:dyDescent="0.45">
      <c r="A13" s="1"/>
      <c r="B13" s="48" t="s">
        <v>48</v>
      </c>
      <c r="C13" s="12">
        <f>SUM(C10:C12)</f>
        <v>34880</v>
      </c>
      <c r="D13" s="13" t="s">
        <v>3</v>
      </c>
      <c r="E13" s="12">
        <f>SUM(E10:E12)</f>
        <v>314450.3666666667</v>
      </c>
      <c r="F13" s="13" t="s">
        <v>3</v>
      </c>
      <c r="G13" s="1"/>
    </row>
    <row r="14" spans="1:7" x14ac:dyDescent="0.45">
      <c r="A14" s="1"/>
      <c r="B14" s="48" t="s">
        <v>173</v>
      </c>
      <c r="C14" s="12">
        <f>C13*(1+'Fane 12. Nøgletal'!C13)</f>
        <v>35305.536</v>
      </c>
      <c r="D14" s="13" t="s">
        <v>3</v>
      </c>
      <c r="E14" s="12">
        <f>E13*(1+'Fane 12. Nøgletal'!C13)</f>
        <v>318286.66114000004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skIUplZnzV1/89XlXOK4kGZM7B/5gXwjlIGhlLQ/euRKMtivBXtoXzS6kFH94k06vwX4WCly8UFR/b/R/WiIfw==" saltValue="xwyypeA0yo3N5Nj0PWOdr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119</v>
      </c>
      <c r="C8" s="97"/>
      <c r="D8" s="97"/>
      <c r="E8" s="97"/>
      <c r="F8" s="98"/>
      <c r="G8" s="1"/>
    </row>
    <row r="9" spans="1:7" x14ac:dyDescent="0.45">
      <c r="A9" s="1"/>
      <c r="B9" s="46" t="s">
        <v>16</v>
      </c>
      <c r="C9" s="46" t="s">
        <v>11</v>
      </c>
      <c r="D9" s="47"/>
      <c r="E9" s="46" t="s">
        <v>34</v>
      </c>
      <c r="F9" s="45"/>
      <c r="G9" s="1"/>
    </row>
    <row r="10" spans="1:7" x14ac:dyDescent="0.45">
      <c r="A10" s="1"/>
      <c r="B10" s="25" t="s">
        <v>243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8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8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6" t="s">
        <v>120</v>
      </c>
      <c r="C16" s="97"/>
      <c r="D16" s="97"/>
      <c r="E16" s="97"/>
      <c r="F16" s="98"/>
      <c r="G16" s="1"/>
    </row>
    <row r="17" spans="1:7" x14ac:dyDescent="0.45">
      <c r="A17" s="1"/>
      <c r="B17" s="46" t="s">
        <v>16</v>
      </c>
      <c r="C17" s="46" t="s">
        <v>11</v>
      </c>
      <c r="D17" s="47"/>
      <c r="E17" s="46" t="s">
        <v>34</v>
      </c>
      <c r="F17" s="45"/>
      <c r="G17" s="1"/>
    </row>
    <row r="18" spans="1:7" x14ac:dyDescent="0.45">
      <c r="A18" s="1"/>
      <c r="B18" s="25" t="s">
        <v>243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8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8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6" t="s">
        <v>121</v>
      </c>
      <c r="C24" s="97"/>
      <c r="D24" s="97"/>
      <c r="E24" s="97"/>
      <c r="F24" s="98"/>
      <c r="G24" s="1"/>
    </row>
    <row r="25" spans="1:7" x14ac:dyDescent="0.45">
      <c r="A25" s="1"/>
      <c r="B25" s="46" t="s">
        <v>16</v>
      </c>
      <c r="C25" s="46" t="s">
        <v>11</v>
      </c>
      <c r="D25" s="47"/>
      <c r="E25" s="46" t="s">
        <v>34</v>
      </c>
      <c r="F25" s="45"/>
      <c r="G25" s="1"/>
    </row>
    <row r="26" spans="1:7" x14ac:dyDescent="0.45">
      <c r="A26" s="1"/>
      <c r="B26" s="25" t="s">
        <v>243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8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8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6" t="s">
        <v>176</v>
      </c>
      <c r="C32" s="97"/>
      <c r="D32" s="97"/>
      <c r="E32" s="97"/>
      <c r="F32" s="98"/>
      <c r="G32" s="1"/>
    </row>
    <row r="33" spans="1:7" x14ac:dyDescent="0.45">
      <c r="A33" s="1"/>
      <c r="B33" s="46" t="s">
        <v>16</v>
      </c>
      <c r="C33" s="46" t="s">
        <v>11</v>
      </c>
      <c r="D33" s="47"/>
      <c r="E33" s="46" t="s">
        <v>34</v>
      </c>
      <c r="F33" s="45"/>
      <c r="G33" s="1"/>
    </row>
    <row r="34" spans="1:7" x14ac:dyDescent="0.45">
      <c r="A34" s="1"/>
      <c r="B34" s="25" t="s">
        <v>243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8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8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SUkM2ugJSgY9p736RNCxOzgqsfbgKsVEnrkQRT3qV6NS+aSAyoDEYCvj8KH8ua005087FdHt9wEoDasdlXIGww==" saltValue="tQ+usBkBWkEj8MesoH5JJ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213</v>
      </c>
      <c r="C3" s="83"/>
      <c r="D3" s="83"/>
      <c r="E3" s="83"/>
      <c r="F3" s="83"/>
      <c r="G3" s="1"/>
    </row>
    <row r="4" spans="1:7" ht="25.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45">
      <c r="A9" s="1"/>
      <c r="B9" s="44" t="s">
        <v>157</v>
      </c>
      <c r="C9" s="93" t="s">
        <v>11</v>
      </c>
      <c r="D9" s="95"/>
      <c r="E9" s="93" t="s">
        <v>34</v>
      </c>
      <c r="F9" s="95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0J7wa1lINE+un/93TMFNl9j8hDxOK5F3DlLsuysZKQPf1oXHDdKz4PdWUoaBHbn7+3ZXrH7nfCHgjrPy13Jyjw==" saltValue="5xOOCy5tuDWPVPhXYJ3eF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212</v>
      </c>
      <c r="C3" s="83"/>
      <c r="D3" s="83"/>
      <c r="E3" s="83"/>
      <c r="F3" s="83"/>
      <c r="G3" s="1"/>
    </row>
    <row r="4" spans="1:7" ht="25.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45">
      <c r="A9" s="1"/>
      <c r="B9" s="44" t="s">
        <v>17</v>
      </c>
      <c r="C9" s="44" t="s">
        <v>11</v>
      </c>
      <c r="D9" s="45"/>
      <c r="E9" s="44" t="s">
        <v>34</v>
      </c>
      <c r="F9" s="45"/>
      <c r="G9" s="1"/>
    </row>
    <row r="10" spans="1:7" x14ac:dyDescent="0.4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8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8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6" t="s">
        <v>110</v>
      </c>
      <c r="C15" s="97"/>
      <c r="D15" s="97"/>
      <c r="E15" s="97"/>
      <c r="F15" s="98"/>
      <c r="G15" s="1"/>
    </row>
    <row r="16" spans="1:7" x14ac:dyDescent="0.45">
      <c r="A16" s="1"/>
      <c r="B16" s="44" t="s">
        <v>17</v>
      </c>
      <c r="C16" s="44" t="s">
        <v>11</v>
      </c>
      <c r="D16" s="45"/>
      <c r="E16" s="44" t="s">
        <v>34</v>
      </c>
      <c r="F16" s="45"/>
      <c r="G16" s="1"/>
    </row>
    <row r="17" spans="1:7" x14ac:dyDescent="0.4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8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8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6" t="s">
        <v>112</v>
      </c>
      <c r="C22" s="97"/>
      <c r="D22" s="97"/>
      <c r="E22" s="97"/>
      <c r="F22" s="98"/>
      <c r="G22" s="1"/>
    </row>
    <row r="23" spans="1:7" x14ac:dyDescent="0.45">
      <c r="A23" s="1"/>
      <c r="B23" s="44" t="s">
        <v>17</v>
      </c>
      <c r="C23" s="44" t="s">
        <v>11</v>
      </c>
      <c r="D23" s="45"/>
      <c r="E23" s="44" t="s">
        <v>34</v>
      </c>
      <c r="F23" s="45"/>
      <c r="G23" s="1"/>
    </row>
    <row r="24" spans="1:7" x14ac:dyDescent="0.4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8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8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182</v>
      </c>
      <c r="C29" s="97"/>
      <c r="D29" s="97"/>
      <c r="E29" s="97"/>
      <c r="F29" s="98"/>
      <c r="G29" s="1"/>
    </row>
    <row r="30" spans="1:7" x14ac:dyDescent="0.45">
      <c r="A30" s="1"/>
      <c r="B30" s="44" t="s">
        <v>17</v>
      </c>
      <c r="C30" s="44" t="s">
        <v>11</v>
      </c>
      <c r="D30" s="45"/>
      <c r="E30" s="44" t="s">
        <v>34</v>
      </c>
      <c r="F30" s="45"/>
      <c r="G30" s="1"/>
    </row>
    <row r="31" spans="1:7" x14ac:dyDescent="0.4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8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8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AMZvj592Lx6d9FJ/jKz/A7Mmr312amtjQvVgTN1/sB9iJMPBxotwZtYxPkQ2ABPHCcxRveRSWgY2Y6gZeoc4Tg==" saltValue="0Erbh+WDo5AVxpMJKT3uP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3" t="s">
        <v>211</v>
      </c>
      <c r="C3" s="83"/>
      <c r="D3" s="1"/>
    </row>
    <row r="4" spans="1:4" ht="25.5" customHeight="1" x14ac:dyDescent="0.45">
      <c r="A4" s="1"/>
      <c r="B4" s="83"/>
      <c r="C4" s="8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8" t="s">
        <v>14</v>
      </c>
      <c r="C8" s="20"/>
      <c r="D8" s="1"/>
    </row>
    <row r="9" spans="1:4" x14ac:dyDescent="0.45">
      <c r="A9" s="1"/>
      <c r="B9" s="52" t="s">
        <v>141</v>
      </c>
      <c r="C9" s="26">
        <v>1.2699999999999999E-2</v>
      </c>
      <c r="D9" s="1"/>
    </row>
    <row r="10" spans="1:4" x14ac:dyDescent="0.45">
      <c r="A10" s="1"/>
      <c r="B10" s="52" t="s">
        <v>22</v>
      </c>
      <c r="C10" s="26">
        <v>1.7500000000000002E-2</v>
      </c>
      <c r="D10" s="1"/>
    </row>
    <row r="11" spans="1:4" x14ac:dyDescent="0.45">
      <c r="A11" s="1"/>
      <c r="B11" s="52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6"/>
      <c r="C14" s="98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8" t="s">
        <v>126</v>
      </c>
      <c r="C17" s="20"/>
      <c r="D17" s="1"/>
    </row>
    <row r="18" spans="1:4" x14ac:dyDescent="0.45">
      <c r="A18" s="1"/>
      <c r="B18" s="52" t="s">
        <v>143</v>
      </c>
      <c r="C18" s="23">
        <v>9.1000000000000004E-3</v>
      </c>
      <c r="D18" s="1"/>
    </row>
    <row r="19" spans="1:4" x14ac:dyDescent="0.45">
      <c r="A19" s="1"/>
      <c r="B19" s="52" t="s">
        <v>144</v>
      </c>
      <c r="C19" s="23">
        <v>1.77E-2</v>
      </c>
      <c r="D19" s="1"/>
    </row>
    <row r="20" spans="1:4" x14ac:dyDescent="0.45">
      <c r="A20" s="1"/>
      <c r="B20" s="52" t="s">
        <v>145</v>
      </c>
      <c r="C20" s="23">
        <v>8.6999999999999994E-3</v>
      </c>
      <c r="D20" s="1"/>
    </row>
    <row r="21" spans="1:4" x14ac:dyDescent="0.45">
      <c r="A21" s="1"/>
      <c r="B21" s="52" t="s">
        <v>146</v>
      </c>
      <c r="C21" s="36">
        <v>2.8400000000000002E-2</v>
      </c>
      <c r="D21" s="1"/>
    </row>
    <row r="22" spans="1:4" x14ac:dyDescent="0.45">
      <c r="A22" s="1"/>
      <c r="B22" s="52" t="s">
        <v>186</v>
      </c>
      <c r="C22" s="36">
        <v>2.75E-2</v>
      </c>
      <c r="D22" s="1"/>
    </row>
    <row r="23" spans="1:4" x14ac:dyDescent="0.45">
      <c r="A23" s="1"/>
      <c r="B23" s="48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8" t="s">
        <v>127</v>
      </c>
      <c r="C26" s="20"/>
      <c r="D26" s="1"/>
    </row>
    <row r="27" spans="1:4" x14ac:dyDescent="0.45">
      <c r="A27" s="1"/>
      <c r="B27" s="52" t="s">
        <v>147</v>
      </c>
      <c r="C27" s="26">
        <v>0.02</v>
      </c>
      <c r="D27" s="1"/>
    </row>
    <row r="28" spans="1:4" x14ac:dyDescent="0.45">
      <c r="A28" s="1"/>
      <c r="B28" s="48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nYbzMXvt9QphwKRqYEeKPDV1gRVP7lWx0X0DlKm61MkSt34efkKNkiLk9D+Xy7FSJQ+40iEfT6E2fVZIj6EGgA==" saltValue="nOVSaXE8/EN+vMSeTEUtMg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161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8" t="s">
        <v>13</v>
      </c>
      <c r="C8" s="49"/>
      <c r="D8" s="20"/>
      <c r="E8" s="1"/>
    </row>
    <row r="9" spans="1:5" x14ac:dyDescent="0.45">
      <c r="A9" s="1"/>
      <c r="B9" s="51" t="s">
        <v>25</v>
      </c>
      <c r="C9" s="7">
        <f>'Fane 3. Omkostninger i ØR2020'!E20</f>
        <v>13248623.62435117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tillæg'!C14</f>
        <v>35305.536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tillæg'!E14</f>
        <v>318286.66114000004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165947.03302219231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-104308.86341046821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-148621.25214133991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-188387.18759098448</v>
      </c>
      <c r="D19" s="8" t="s">
        <v>3</v>
      </c>
      <c r="E19" s="1"/>
    </row>
    <row r="20" spans="1:5" ht="17.100000000000001" customHeight="1" x14ac:dyDescent="0.45">
      <c r="A20" s="1"/>
      <c r="B20" s="53" t="s">
        <v>20</v>
      </c>
      <c r="C20" s="10">
        <f>SUM(C9:C19)</f>
        <v>13326845.551370569</v>
      </c>
      <c r="D20" s="11" t="s">
        <v>3</v>
      </c>
      <c r="E20" s="1"/>
    </row>
    <row r="21" spans="1:5" ht="15" customHeight="1" x14ac:dyDescent="0.45">
      <c r="A21" s="1"/>
      <c r="B21" s="48" t="s">
        <v>12</v>
      </c>
      <c r="C21" s="49"/>
      <c r="D21" s="20"/>
      <c r="E21" s="1"/>
    </row>
    <row r="22" spans="1:5" ht="15" customHeight="1" x14ac:dyDescent="0.45">
      <c r="A22" s="1"/>
      <c r="B22" s="44" t="s">
        <v>12</v>
      </c>
      <c r="C22" s="10">
        <f>'Fane 6. Ikke-påvirkelige omk.'!C16</f>
        <v>10409708.210819401</v>
      </c>
      <c r="D22" s="11" t="s">
        <v>3</v>
      </c>
      <c r="E22" s="1"/>
    </row>
    <row r="23" spans="1:5" ht="15" customHeight="1" x14ac:dyDescent="0.45">
      <c r="A23" s="1"/>
      <c r="B23" s="48" t="s">
        <v>99</v>
      </c>
      <c r="C23" s="49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53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9"/>
      <c r="D27" s="20"/>
      <c r="E27" s="1"/>
    </row>
    <row r="28" spans="1:5" x14ac:dyDescent="0.45">
      <c r="A28" s="1"/>
      <c r="B28" s="54" t="s">
        <v>205</v>
      </c>
      <c r="C28" s="10">
        <f>'Fane 7. Kontrol af ØR2019'!E41</f>
        <v>-581400.07342434675</v>
      </c>
      <c r="D28" s="11" t="s">
        <v>3</v>
      </c>
      <c r="E28" s="1"/>
    </row>
    <row r="29" spans="1:5" x14ac:dyDescent="0.45">
      <c r="A29" s="1"/>
      <c r="B29" s="48" t="s">
        <v>31</v>
      </c>
      <c r="C29" s="32">
        <f>SUM(C20,C22,C26,C28)</f>
        <v>23155153.688765623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eobNDtp1T2U+5RaeLsSFMEVJ4i7D+W4hOvr/pYdR5zD9rxtwUh+uRPvkYGBfYSpnjExPF4a44SDOxHpKGCkdZg==" saltValue="uJRrLu47mQbc5vyuLg9IN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162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/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8" t="s">
        <v>13</v>
      </c>
      <c r="C8" s="49"/>
      <c r="D8" s="20"/>
      <c r="E8" s="1"/>
    </row>
    <row r="9" spans="1:5" ht="15" customHeight="1" x14ac:dyDescent="0.45">
      <c r="A9" s="1"/>
      <c r="B9" s="51" t="s">
        <v>26</v>
      </c>
      <c r="C9" s="7">
        <f>'Fane 2.1. Økonomisk ramme 2021'!C20</f>
        <v>13326845.551370569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42" t="s">
        <v>18</v>
      </c>
      <c r="C12" s="9">
        <f>SUM(C9:C11)*'Fane 12. Nøgletal'!C13</f>
        <v>162587.51572672094</v>
      </c>
      <c r="D12" s="8" t="s">
        <v>3</v>
      </c>
      <c r="E12" s="1"/>
    </row>
    <row r="13" spans="1:5" ht="15" customHeight="1" x14ac:dyDescent="0.45">
      <c r="A13" s="1"/>
      <c r="B13" s="42" t="s">
        <v>9</v>
      </c>
      <c r="C13" s="9">
        <f>-SUM(C9:C12)*'Fane 5. Individuelt eff. krav'!G10</f>
        <v>-102197.18100002366</v>
      </c>
      <c r="D13" s="8" t="s">
        <v>3</v>
      </c>
      <c r="E13" s="1"/>
    </row>
    <row r="14" spans="1:5" ht="15" customHeight="1" x14ac:dyDescent="0.45">
      <c r="A14" s="1"/>
      <c r="B14" s="42" t="s">
        <v>27</v>
      </c>
      <c r="C14" s="9">
        <f>-'Fane 4.1. Gen. krav - drift'!G37</f>
        <v>-147425.74278911497</v>
      </c>
      <c r="D14" s="8" t="s">
        <v>3</v>
      </c>
      <c r="E14" s="1"/>
    </row>
    <row r="15" spans="1:5" ht="15" customHeight="1" x14ac:dyDescent="0.45">
      <c r="A15" s="1"/>
      <c r="B15" s="42" t="s">
        <v>28</v>
      </c>
      <c r="C15" s="9">
        <f>-'Fane 4.2. Gen. krav - anlæg'!G37</f>
        <v>-185441.65971940567</v>
      </c>
      <c r="D15" s="8" t="s">
        <v>3</v>
      </c>
      <c r="E15" s="1"/>
    </row>
    <row r="16" spans="1:5" ht="15" customHeight="1" x14ac:dyDescent="0.45">
      <c r="A16" s="1"/>
      <c r="B16" s="43" t="s">
        <v>20</v>
      </c>
      <c r="C16" s="10">
        <f>SUM(C9:C15)</f>
        <v>13054368.483588744</v>
      </c>
      <c r="D16" s="11" t="s">
        <v>3</v>
      </c>
      <c r="E16" s="1"/>
    </row>
    <row r="17" spans="1:5" x14ac:dyDescent="0.45">
      <c r="A17" s="1"/>
      <c r="B17" s="48" t="s">
        <v>12</v>
      </c>
      <c r="C17" s="49"/>
      <c r="D17" s="20"/>
      <c r="E17" s="1"/>
    </row>
    <row r="18" spans="1:5" ht="15" customHeight="1" x14ac:dyDescent="0.45">
      <c r="A18" s="1"/>
      <c r="B18" s="44" t="s">
        <v>12</v>
      </c>
      <c r="C18" s="10">
        <f>'Fane 6. Ikke-påvirkelige omk.'!C16*(1+'Fane 12. Nøgletal'!C13)</f>
        <v>10536706.650991397</v>
      </c>
      <c r="D18" s="11" t="s">
        <v>3</v>
      </c>
      <c r="E18" s="1"/>
    </row>
    <row r="19" spans="1:5" ht="15" customHeight="1" x14ac:dyDescent="0.45">
      <c r="A19" s="1"/>
      <c r="B19" s="48" t="s">
        <v>99</v>
      </c>
      <c r="C19" s="49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3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9"/>
      <c r="D23" s="20"/>
      <c r="E23" s="1"/>
    </row>
    <row r="24" spans="1:5" ht="15" customHeight="1" x14ac:dyDescent="0.45">
      <c r="A24" s="1"/>
      <c r="B24" s="54" t="s">
        <v>205</v>
      </c>
      <c r="C24" s="10">
        <f>'Fane 7. Kontrol af ØR2019'!E41</f>
        <v>-581400.07342434675</v>
      </c>
      <c r="D24" s="11" t="s">
        <v>3</v>
      </c>
      <c r="E24" s="1"/>
    </row>
    <row r="25" spans="1:5" x14ac:dyDescent="0.45">
      <c r="A25" s="1"/>
      <c r="B25" s="48" t="s">
        <v>32</v>
      </c>
      <c r="C25" s="12">
        <f>SUM(C16,C18,C22,C24)</f>
        <v>23009675.061155796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EteuyrEQw/xd7pt+1BKVbHpiRlVr+GoxvkEfZAXx/I8Veq3x9MVjVQv5zTl/iVxiJ9mtXwAnUe2Bx/xvg7Dbhg==" saltValue="Ch0GYVBYyA/LHKC4G2UVQ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163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8" t="s">
        <v>13</v>
      </c>
      <c r="C7" s="49"/>
      <c r="D7" s="20"/>
      <c r="E7" s="1"/>
    </row>
    <row r="8" spans="1:5" ht="15" customHeight="1" x14ac:dyDescent="0.45">
      <c r="A8" s="1"/>
      <c r="B8" s="51" t="s">
        <v>165</v>
      </c>
      <c r="C8" s="7">
        <f>'Fane 2.2. Økonomisk ramme 2022'!C16</f>
        <v>13054368.483588744</v>
      </c>
      <c r="D8" s="8" t="s">
        <v>3</v>
      </c>
      <c r="E8" s="1"/>
    </row>
    <row r="9" spans="1:5" ht="15" customHeight="1" x14ac:dyDescent="0.45">
      <c r="A9" s="1"/>
      <c r="B9" s="51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42" t="s">
        <v>18</v>
      </c>
      <c r="C11" s="9">
        <f>SUM(C8:C10)*'Fane 12. Nøgletal'!C13</f>
        <v>159263.29549978269</v>
      </c>
      <c r="D11" s="8" t="s">
        <v>3</v>
      </c>
      <c r="E11" s="1"/>
    </row>
    <row r="12" spans="1:5" ht="15" customHeight="1" x14ac:dyDescent="0.45">
      <c r="A12" s="1"/>
      <c r="B12" s="42" t="s">
        <v>9</v>
      </c>
      <c r="C12" s="9">
        <f>-SUM(C8:C11)*'Fane 5. Individuelt eff. krav'!G10</f>
        <v>-100107.68516943748</v>
      </c>
      <c r="D12" s="8" t="s">
        <v>3</v>
      </c>
      <c r="E12" s="1"/>
    </row>
    <row r="13" spans="1:5" ht="15" customHeight="1" x14ac:dyDescent="0.45">
      <c r="A13" s="1"/>
      <c r="B13" s="42" t="s">
        <v>27</v>
      </c>
      <c r="C13" s="9">
        <f>-'Fane 4.1. Gen. krav - drift'!G43</f>
        <v>-146239.85011411933</v>
      </c>
      <c r="D13" s="8" t="s">
        <v>3</v>
      </c>
      <c r="E13" s="1"/>
    </row>
    <row r="14" spans="1:5" ht="15" customHeight="1" x14ac:dyDescent="0.45">
      <c r="A14" s="1"/>
      <c r="B14" s="42" t="s">
        <v>28</v>
      </c>
      <c r="C14" s="9">
        <f>-'Fane 4.2. Gen. krav - anlæg'!G43</f>
        <v>-182542.18664886287</v>
      </c>
      <c r="D14" s="8" t="s">
        <v>3</v>
      </c>
      <c r="E14" s="1"/>
    </row>
    <row r="15" spans="1:5" x14ac:dyDescent="0.45">
      <c r="A15" s="1"/>
      <c r="B15" s="43" t="s">
        <v>20</v>
      </c>
      <c r="C15" s="10">
        <f>SUM(C8:C14)</f>
        <v>12784742.057156106</v>
      </c>
      <c r="D15" s="11" t="s">
        <v>3</v>
      </c>
      <c r="E15" s="1"/>
    </row>
    <row r="16" spans="1:5" x14ac:dyDescent="0.45">
      <c r="A16" s="1"/>
      <c r="B16" s="48" t="s">
        <v>12</v>
      </c>
      <c r="C16" s="49"/>
      <c r="D16" s="20"/>
      <c r="E16" s="1"/>
    </row>
    <row r="17" spans="1:5" ht="15" customHeight="1" x14ac:dyDescent="0.45">
      <c r="A17" s="1"/>
      <c r="B17" s="44" t="s">
        <v>12</v>
      </c>
      <c r="C17" s="10">
        <f>'Fane 6. Ikke-påvirkelige omk.'!C16*(1+'Fane 12. Nøgletal'!C13)^2</f>
        <v>10665254.472133493</v>
      </c>
      <c r="D17" s="11" t="s">
        <v>3</v>
      </c>
      <c r="E17" s="1"/>
    </row>
    <row r="18" spans="1:5" ht="15" customHeight="1" x14ac:dyDescent="0.45">
      <c r="A18" s="1"/>
      <c r="B18" s="48" t="s">
        <v>99</v>
      </c>
      <c r="C18" s="49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3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8" t="s">
        <v>109</v>
      </c>
      <c r="C22" s="12">
        <f>SUM(C15,C17,C21)</f>
        <v>23449996.5292896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19XDq/QiYwmMmafasepHO5eTSKUIdQWiid3TwXT1QzwVnH+0V9+DOR+S+j/QaqGHihjgiKMgxzOKL+YbZbl4Kw==" saltValue="8LfR3Lu3oYEj8Vu+DE/q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164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8" t="s">
        <v>13</v>
      </c>
      <c r="C7" s="49"/>
      <c r="D7" s="20"/>
      <c r="E7" s="1"/>
    </row>
    <row r="8" spans="1:5" ht="15" customHeight="1" x14ac:dyDescent="0.45">
      <c r="A8" s="1"/>
      <c r="B8" s="51" t="s">
        <v>166</v>
      </c>
      <c r="C8" s="7">
        <f>'Fane 2.3. Økonomisk ramme 2023'!C15</f>
        <v>12784742.057156106</v>
      </c>
      <c r="D8" s="8" t="s">
        <v>3</v>
      </c>
      <c r="E8" s="1"/>
    </row>
    <row r="9" spans="1:5" ht="15" customHeight="1" x14ac:dyDescent="0.45">
      <c r="A9" s="1"/>
      <c r="B9" s="51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42" t="s">
        <v>18</v>
      </c>
      <c r="C11" s="9">
        <f>SUM(C8:C10)*'Fane 12. Nøgletal'!C13</f>
        <v>155973.8530973045</v>
      </c>
      <c r="D11" s="8" t="s">
        <v>3</v>
      </c>
      <c r="E11" s="1"/>
    </row>
    <row r="12" spans="1:5" ht="15" customHeight="1" x14ac:dyDescent="0.45">
      <c r="A12" s="1"/>
      <c r="B12" s="42" t="s">
        <v>9</v>
      </c>
      <c r="C12" s="9">
        <f>-SUM(C8:C11)*'Fane 5. Individuelt eff. krav'!G10</f>
        <v>-98040.049538911844</v>
      </c>
      <c r="D12" s="8" t="s">
        <v>3</v>
      </c>
      <c r="E12" s="1"/>
    </row>
    <row r="13" spans="1:5" ht="15" customHeight="1" x14ac:dyDescent="0.45">
      <c r="A13" s="1"/>
      <c r="B13" s="42" t="s">
        <v>27</v>
      </c>
      <c r="C13" s="9">
        <f>-'Fane 4.1. Gen. krav - drift'!G49</f>
        <v>-145063.49675980138</v>
      </c>
      <c r="D13" s="8" t="s">
        <v>3</v>
      </c>
      <c r="E13" s="1"/>
    </row>
    <row r="14" spans="1:5" ht="15" customHeight="1" x14ac:dyDescent="0.45">
      <c r="A14" s="1"/>
      <c r="B14" s="42" t="s">
        <v>28</v>
      </c>
      <c r="C14" s="9">
        <f>-'Fane 4.2. Gen. krav - anlæg'!G49</f>
        <v>-179688.04828951458</v>
      </c>
      <c r="D14" s="8" t="s">
        <v>3</v>
      </c>
      <c r="E14" s="1"/>
    </row>
    <row r="15" spans="1:5" x14ac:dyDescent="0.45">
      <c r="A15" s="1"/>
      <c r="B15" s="43" t="s">
        <v>20</v>
      </c>
      <c r="C15" s="10">
        <f>SUM(C8:C14)</f>
        <v>12517924.315665182</v>
      </c>
      <c r="D15" s="11" t="s">
        <v>3</v>
      </c>
      <c r="E15" s="1"/>
    </row>
    <row r="16" spans="1:5" x14ac:dyDescent="0.45">
      <c r="A16" s="1"/>
      <c r="B16" s="48" t="s">
        <v>12</v>
      </c>
      <c r="C16" s="49"/>
      <c r="D16" s="20"/>
      <c r="E16" s="1"/>
    </row>
    <row r="17" spans="1:5" ht="15" customHeight="1" x14ac:dyDescent="0.45">
      <c r="A17" s="1"/>
      <c r="B17" s="44" t="s">
        <v>12</v>
      </c>
      <c r="C17" s="10">
        <f>'Fane 6. Ikke-påvirkelige omk.'!C16*(1+'Fane 12. Nøgletal'!C13)^3</f>
        <v>10795370.576693522</v>
      </c>
      <c r="D17" s="11" t="s">
        <v>3</v>
      </c>
      <c r="E17" s="1"/>
    </row>
    <row r="18" spans="1:5" ht="15" customHeight="1" x14ac:dyDescent="0.45">
      <c r="A18" s="1"/>
      <c r="B18" s="48" t="s">
        <v>99</v>
      </c>
      <c r="C18" s="49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3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8" t="s">
        <v>244</v>
      </c>
      <c r="C22" s="12">
        <f>SUM(C15,C17,C21)</f>
        <v>23313294.892358705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tWyc37fPW3kBkbc0VjW/8Aq18yg1KZnW40rh9wBOjB/a/xnQF007nxKHiZAlcnzY32tz0xg2DpZ01W2uBwYFRQ==" saltValue="47YMXshkmTE6nfCc6y8Q3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180</v>
      </c>
      <c r="C3" s="83"/>
      <c r="D3" s="83"/>
      <c r="E3" s="83"/>
      <c r="F3" s="83"/>
      <c r="G3" s="1"/>
    </row>
    <row r="4" spans="1:7" ht="29.2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8" t="s">
        <v>167</v>
      </c>
      <c r="C8" s="49"/>
      <c r="D8" s="49"/>
      <c r="E8" s="49"/>
      <c r="F8" s="20"/>
      <c r="G8" s="1"/>
    </row>
    <row r="9" spans="1:7" x14ac:dyDescent="0.45">
      <c r="A9" s="1"/>
      <c r="B9" s="84" t="s">
        <v>23</v>
      </c>
      <c r="C9" s="85"/>
      <c r="D9" s="86"/>
      <c r="E9" s="7">
        <v>10930032.521612756</v>
      </c>
      <c r="F9" s="8" t="s">
        <v>3</v>
      </c>
      <c r="G9" s="1"/>
    </row>
    <row r="10" spans="1:7" ht="15" customHeight="1" x14ac:dyDescent="0.45">
      <c r="A10" s="1"/>
      <c r="B10" s="75" t="s">
        <v>45</v>
      </c>
      <c r="C10" s="76"/>
      <c r="D10" s="77"/>
      <c r="E10" s="7">
        <v>591485.14260000002</v>
      </c>
      <c r="F10" s="8" t="s">
        <v>3</v>
      </c>
      <c r="G10" s="1"/>
    </row>
    <row r="11" spans="1:7" ht="15" customHeight="1" x14ac:dyDescent="0.45">
      <c r="A11" s="1"/>
      <c r="B11" s="75" t="s">
        <v>46</v>
      </c>
      <c r="C11" s="76"/>
      <c r="D11" s="77"/>
      <c r="E11" s="9">
        <v>1909598.7772620004</v>
      </c>
      <c r="F11" s="8" t="s">
        <v>3</v>
      </c>
      <c r="G11" s="1"/>
    </row>
    <row r="12" spans="1:7" x14ac:dyDescent="0.45">
      <c r="A12" s="1"/>
      <c r="B12" s="75" t="s">
        <v>30</v>
      </c>
      <c r="C12" s="76"/>
      <c r="D12" s="77"/>
      <c r="E12" s="9">
        <v>0</v>
      </c>
      <c r="F12" s="8" t="s">
        <v>3</v>
      </c>
      <c r="G12" s="1"/>
    </row>
    <row r="13" spans="1:7" x14ac:dyDescent="0.45">
      <c r="A13" s="1"/>
      <c r="B13" s="75" t="s">
        <v>29</v>
      </c>
      <c r="C13" s="76"/>
      <c r="D13" s="77"/>
      <c r="E13" s="9">
        <v>0</v>
      </c>
      <c r="F13" s="8" t="s">
        <v>3</v>
      </c>
      <c r="G13" s="1"/>
    </row>
    <row r="14" spans="1:7" x14ac:dyDescent="0.45">
      <c r="A14" s="1"/>
      <c r="B14" s="75" t="s">
        <v>159</v>
      </c>
      <c r="C14" s="76"/>
      <c r="D14" s="77"/>
      <c r="E14" s="9">
        <v>0</v>
      </c>
      <c r="F14" s="8" t="s">
        <v>3</v>
      </c>
      <c r="G14" s="1"/>
    </row>
    <row r="15" spans="1:7" x14ac:dyDescent="0.45">
      <c r="A15" s="1"/>
      <c r="B15" s="75" t="s">
        <v>160</v>
      </c>
      <c r="C15" s="76"/>
      <c r="D15" s="77"/>
      <c r="E15" s="9">
        <v>0</v>
      </c>
      <c r="F15" s="8" t="s">
        <v>3</v>
      </c>
      <c r="G15" s="1"/>
    </row>
    <row r="16" spans="1:7" x14ac:dyDescent="0.45">
      <c r="A16" s="1"/>
      <c r="B16" s="75" t="s">
        <v>18</v>
      </c>
      <c r="C16" s="76"/>
      <c r="D16" s="77"/>
      <c r="E16" s="9">
        <f>E9*'Fane 12. Nøgletal'!C11+SUM(E10:E15)*'Fane 12. Nøgletal'!C12</f>
        <v>233988.90283653696</v>
      </c>
      <c r="F16" s="8" t="s">
        <v>3</v>
      </c>
      <c r="G16" s="1"/>
    </row>
    <row r="17" spans="1:7" x14ac:dyDescent="0.45">
      <c r="A17" s="1"/>
      <c r="B17" s="75" t="s">
        <v>9</v>
      </c>
      <c r="C17" s="76"/>
      <c r="D17" s="77"/>
      <c r="E17" s="9">
        <f>-SUM(E9:E16)*'Fane 5. Individuelt eff. krav'!G9</f>
        <v>-172075.05701918286</v>
      </c>
      <c r="F17" s="8" t="s">
        <v>3</v>
      </c>
      <c r="G17" s="1"/>
    </row>
    <row r="18" spans="1:7" x14ac:dyDescent="0.45">
      <c r="A18" s="1"/>
      <c r="B18" s="75" t="s">
        <v>27</v>
      </c>
      <c r="C18" s="76"/>
      <c r="D18" s="77"/>
      <c r="E18" s="9">
        <f>-'Fane 4.1. Gen. krav - drift'!G25</f>
        <v>-149105.93501179077</v>
      </c>
      <c r="F18" s="8" t="s">
        <v>3</v>
      </c>
      <c r="G18" s="1"/>
    </row>
    <row r="19" spans="1:7" x14ac:dyDescent="0.45">
      <c r="A19" s="1"/>
      <c r="B19" s="75" t="s">
        <v>28</v>
      </c>
      <c r="C19" s="76"/>
      <c r="D19" s="77"/>
      <c r="E19" s="9">
        <f>-'Fane 4.2. Gen. krav - anlæg'!G25</f>
        <v>-95300.727929149012</v>
      </c>
      <c r="F19" s="8" t="s">
        <v>3</v>
      </c>
      <c r="G19" s="1"/>
    </row>
    <row r="20" spans="1:7" x14ac:dyDescent="0.45">
      <c r="A20" s="1"/>
      <c r="B20" s="90" t="s">
        <v>20</v>
      </c>
      <c r="C20" s="91"/>
      <c r="D20" s="92"/>
      <c r="E20" s="10">
        <f>SUM(E9:E19)</f>
        <v>13248623.62435117</v>
      </c>
      <c r="F20" s="11" t="s">
        <v>3</v>
      </c>
      <c r="G20" s="1"/>
    </row>
    <row r="21" spans="1:7" x14ac:dyDescent="0.45">
      <c r="A21" s="1"/>
      <c r="B21" s="78" t="s">
        <v>12</v>
      </c>
      <c r="C21" s="79"/>
      <c r="D21" s="79"/>
      <c r="E21" s="49"/>
      <c r="F21" s="20"/>
      <c r="G21" s="1"/>
    </row>
    <row r="22" spans="1:7" x14ac:dyDescent="0.45">
      <c r="A22" s="1"/>
      <c r="B22" s="80" t="s">
        <v>12</v>
      </c>
      <c r="C22" s="81"/>
      <c r="D22" s="82"/>
      <c r="E22" s="10">
        <v>11024936.54534349</v>
      </c>
      <c r="F22" s="11" t="s">
        <v>3</v>
      </c>
      <c r="G22" s="1"/>
    </row>
    <row r="23" spans="1:7" ht="15" customHeight="1" x14ac:dyDescent="0.45">
      <c r="A23" s="1"/>
      <c r="B23" s="78" t="s">
        <v>99</v>
      </c>
      <c r="C23" s="79"/>
      <c r="D23" s="79"/>
      <c r="E23" s="49"/>
      <c r="F23" s="49"/>
      <c r="G23" s="1"/>
    </row>
    <row r="24" spans="1:7" ht="14.25" customHeight="1" x14ac:dyDescent="0.45">
      <c r="A24" s="1"/>
      <c r="B24" s="87" t="s">
        <v>95</v>
      </c>
      <c r="C24" s="88"/>
      <c r="D24" s="89"/>
      <c r="E24" s="9">
        <v>0</v>
      </c>
      <c r="F24" s="8" t="s">
        <v>3</v>
      </c>
      <c r="G24" s="1"/>
    </row>
    <row r="25" spans="1:7" ht="14.25" customHeight="1" x14ac:dyDescent="0.45">
      <c r="A25" s="1"/>
      <c r="B25" s="87" t="s">
        <v>96</v>
      </c>
      <c r="C25" s="88"/>
      <c r="D25" s="89"/>
      <c r="E25" s="9">
        <v>0</v>
      </c>
      <c r="F25" s="8" t="s">
        <v>3</v>
      </c>
      <c r="G25" s="1"/>
    </row>
    <row r="26" spans="1:7" x14ac:dyDescent="0.45">
      <c r="A26" s="1"/>
      <c r="B26" s="93" t="s">
        <v>100</v>
      </c>
      <c r="C26" s="94"/>
      <c r="D26" s="94"/>
      <c r="E26" s="10">
        <v>0</v>
      </c>
      <c r="F26" s="11" t="s">
        <v>3</v>
      </c>
      <c r="G26" s="1"/>
    </row>
    <row r="27" spans="1:7" ht="14.25" customHeight="1" x14ac:dyDescent="0.45">
      <c r="A27" s="1"/>
      <c r="B27" s="48" t="s">
        <v>228</v>
      </c>
      <c r="C27" s="49"/>
      <c r="D27" s="49"/>
      <c r="E27" s="49"/>
      <c r="F27" s="49"/>
      <c r="G27" s="1"/>
    </row>
    <row r="28" spans="1:7" ht="13.15" customHeight="1" x14ac:dyDescent="0.45">
      <c r="A28" s="1"/>
      <c r="B28" s="93" t="s">
        <v>229</v>
      </c>
      <c r="C28" s="94"/>
      <c r="D28" s="95"/>
      <c r="E28" s="10">
        <v>0</v>
      </c>
      <c r="F28" s="11" t="s">
        <v>3</v>
      </c>
      <c r="G28" s="1"/>
    </row>
    <row r="29" spans="1:7" x14ac:dyDescent="0.45">
      <c r="A29" s="1"/>
      <c r="B29" s="48" t="s">
        <v>230</v>
      </c>
      <c r="C29" s="49"/>
      <c r="D29" s="49"/>
      <c r="E29" s="49"/>
      <c r="F29" s="20"/>
      <c r="G29" s="1"/>
    </row>
    <row r="30" spans="1:7" ht="15" customHeight="1" x14ac:dyDescent="0.45">
      <c r="A30" s="1"/>
      <c r="B30" s="93" t="s">
        <v>231</v>
      </c>
      <c r="C30" s="94"/>
      <c r="D30" s="95"/>
      <c r="E30" s="10">
        <v>580083.74606133928</v>
      </c>
      <c r="F30" s="11" t="s">
        <v>3</v>
      </c>
      <c r="G30" s="1"/>
    </row>
    <row r="31" spans="1:7" x14ac:dyDescent="0.45">
      <c r="A31" s="1"/>
      <c r="B31" s="48" t="s">
        <v>232</v>
      </c>
      <c r="C31" s="49"/>
      <c r="D31" s="49"/>
      <c r="E31" s="49"/>
      <c r="F31" s="20"/>
      <c r="G31" s="1"/>
    </row>
    <row r="32" spans="1:7" x14ac:dyDescent="0.45">
      <c r="A32" s="1"/>
      <c r="B32" s="80" t="s">
        <v>233</v>
      </c>
      <c r="C32" s="81"/>
      <c r="D32" s="82"/>
      <c r="E32" s="10">
        <v>0</v>
      </c>
      <c r="F32" s="11" t="s">
        <v>3</v>
      </c>
      <c r="G32" s="1"/>
    </row>
    <row r="33" spans="1:7" x14ac:dyDescent="0.45">
      <c r="A33" s="1"/>
      <c r="B33" s="48" t="s">
        <v>24</v>
      </c>
      <c r="C33" s="49"/>
      <c r="D33" s="49"/>
      <c r="E33" s="12">
        <f>SUM(E30,E26,E28,E22,E20,E32)</f>
        <v>24853643.915756002</v>
      </c>
      <c r="F33" s="13" t="s">
        <v>3</v>
      </c>
      <c r="G33" s="1"/>
    </row>
    <row r="34" spans="1:7" ht="28.15" customHeight="1" x14ac:dyDescent="0.45">
      <c r="A34" s="1"/>
      <c r="B34" s="87" t="s">
        <v>179</v>
      </c>
      <c r="C34" s="88"/>
      <c r="D34" s="88"/>
      <c r="E34" s="88"/>
      <c r="F34" s="89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IXyxvl0Tz0QVEwJarXNIFzdFulE6LHhNbXs8gSYX2r8+XN8iiGzF+ue05E8Tz+gZKY9Nxs/x/XipBYqhhCppiw==" saltValue="AmZCpXCmbasQD+qJ1qDxOA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4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4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4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53</v>
      </c>
      <c r="C5" s="100"/>
      <c r="D5" s="100"/>
      <c r="E5" s="100"/>
      <c r="F5" s="101"/>
      <c r="G5" s="24">
        <v>6952035</v>
      </c>
      <c r="H5" s="14" t="s">
        <v>3</v>
      </c>
      <c r="I5" s="1"/>
    </row>
    <row r="6" spans="1:9" x14ac:dyDescent="0.45">
      <c r="A6" s="1"/>
      <c r="B6" s="99" t="s">
        <v>54</v>
      </c>
      <c r="C6" s="100"/>
      <c r="D6" s="100"/>
      <c r="E6" s="100"/>
      <c r="F6" s="101"/>
      <c r="G6" s="24">
        <f>G5*'Fane 12. Nøgletal'!C27</f>
        <v>139040.70000000001</v>
      </c>
      <c r="H6" s="14" t="s">
        <v>3</v>
      </c>
      <c r="I6" s="1"/>
    </row>
    <row r="7" spans="1:9" x14ac:dyDescent="0.45">
      <c r="A7" s="1"/>
      <c r="B7" s="48"/>
      <c r="C7" s="49"/>
      <c r="D7" s="49"/>
      <c r="E7" s="49"/>
      <c r="F7" s="49"/>
      <c r="G7" s="49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6899519.3276099991</v>
      </c>
      <c r="H10" s="14" t="s">
        <v>3</v>
      </c>
      <c r="I10" s="1"/>
    </row>
    <row r="11" spans="1:9" x14ac:dyDescent="0.4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137990.38655219998</v>
      </c>
      <c r="H12" s="14" t="s">
        <v>3</v>
      </c>
      <c r="I12" s="1"/>
    </row>
    <row r="13" spans="1:9" x14ac:dyDescent="0.45">
      <c r="A13" s="1"/>
      <c r="B13" s="48"/>
      <c r="C13" s="49"/>
      <c r="D13" s="49"/>
      <c r="E13" s="49"/>
      <c r="F13" s="49"/>
      <c r="G13" s="49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6875798.780161676</v>
      </c>
      <c r="H16" s="14" t="s">
        <v>3</v>
      </c>
      <c r="I16" s="1"/>
    </row>
    <row r="17" spans="1:9" x14ac:dyDescent="0.45">
      <c r="A17" s="1"/>
      <c r="B17" s="99" t="s">
        <v>148</v>
      </c>
      <c r="C17" s="100"/>
      <c r="D17" s="100"/>
      <c r="E17" s="100"/>
      <c r="F17" s="101"/>
      <c r="G17" s="24">
        <v>-0.43476989980806591</v>
      </c>
      <c r="H17" s="14" t="s">
        <v>3</v>
      </c>
      <c r="I17" s="1"/>
    </row>
    <row r="18" spans="1:9" x14ac:dyDescent="0.45">
      <c r="A18" s="1"/>
      <c r="B18" s="102" t="s">
        <v>59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4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137515.96690783554</v>
      </c>
      <c r="H19" s="14" t="s">
        <v>3</v>
      </c>
      <c r="I19" s="1"/>
    </row>
    <row r="20" spans="1:9" x14ac:dyDescent="0.45">
      <c r="A20" s="1"/>
      <c r="B20" s="48"/>
      <c r="C20" s="49"/>
      <c r="D20" s="49"/>
      <c r="E20" s="49"/>
      <c r="F20" s="49"/>
      <c r="G20" s="49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6852159.3506803187</v>
      </c>
      <c r="H23" s="14" t="s">
        <v>3</v>
      </c>
      <c r="I23" s="1"/>
    </row>
    <row r="24" spans="1:9" x14ac:dyDescent="0.45">
      <c r="A24" s="1"/>
      <c r="B24" s="102" t="s">
        <v>62</v>
      </c>
      <c r="C24" s="103"/>
      <c r="D24" s="103"/>
      <c r="E24" s="103"/>
      <c r="F24" s="104"/>
      <c r="G24" s="24">
        <v>603137.39990922005</v>
      </c>
      <c r="H24" s="14" t="s">
        <v>3</v>
      </c>
      <c r="I24" s="1"/>
    </row>
    <row r="25" spans="1:9" x14ac:dyDescent="0.4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149105.93501179077</v>
      </c>
      <c r="H25" s="14" t="s">
        <v>3</v>
      </c>
      <c r="I25" s="1"/>
    </row>
    <row r="26" spans="1:9" x14ac:dyDescent="0.45">
      <c r="A26" s="1"/>
      <c r="B26" s="48"/>
      <c r="C26" s="49"/>
      <c r="D26" s="49"/>
      <c r="E26" s="49"/>
      <c r="F26" s="49"/>
      <c r="G26" s="49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7395326.3435277957</v>
      </c>
      <c r="H29" s="14" t="s">
        <v>3</v>
      </c>
      <c r="I29" s="1"/>
    </row>
    <row r="30" spans="1:9" x14ac:dyDescent="0.45">
      <c r="A30" s="1"/>
      <c r="B30" s="99" t="s">
        <v>187</v>
      </c>
      <c r="C30" s="100"/>
      <c r="D30" s="100"/>
      <c r="E30" s="100"/>
      <c r="F30" s="101"/>
      <c r="G30" s="24">
        <f>SUM('Fane 2.1. Økonomisk ramme 2021'!C10,'Fane 2.1. Økonomisk ramme 2021'!C12,'Fane 2.1. Økonomisk ramme 2021'!C14)*(1+'Fane 12. Nøgletal'!C13)</f>
        <v>35736.263539200001</v>
      </c>
      <c r="H30" s="14" t="s">
        <v>3</v>
      </c>
      <c r="I30" s="1"/>
    </row>
    <row r="31" spans="1:9" x14ac:dyDescent="0.4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148621.25214133991</v>
      </c>
      <c r="H31" s="14" t="s">
        <v>3</v>
      </c>
      <c r="I31" s="1"/>
    </row>
    <row r="32" spans="1:9" x14ac:dyDescent="0.45">
      <c r="A32" s="1"/>
      <c r="B32" s="48"/>
      <c r="C32" s="49"/>
      <c r="D32" s="49"/>
      <c r="E32" s="49"/>
      <c r="F32" s="49"/>
      <c r="G32" s="49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7371287.1394557487</v>
      </c>
      <c r="H35" s="14" t="s">
        <v>3</v>
      </c>
      <c r="I35" s="1"/>
    </row>
    <row r="36" spans="1:9" x14ac:dyDescent="0.4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147425.74278911497</v>
      </c>
      <c r="H37" s="14" t="s">
        <v>3</v>
      </c>
      <c r="I37" s="1"/>
    </row>
    <row r="38" spans="1:9" x14ac:dyDescent="0.45">
      <c r="A38" s="1"/>
      <c r="B38" s="48"/>
      <c r="C38" s="49"/>
      <c r="D38" s="49"/>
      <c r="E38" s="49"/>
      <c r="F38" s="49"/>
      <c r="G38" s="49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7311992.5057059666</v>
      </c>
      <c r="H41" s="14" t="s">
        <v>3</v>
      </c>
      <c r="I41" s="1"/>
    </row>
    <row r="42" spans="1:9" x14ac:dyDescent="0.4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146239.85011411933</v>
      </c>
      <c r="H43" s="14" t="s">
        <v>3</v>
      </c>
      <c r="I43" s="1"/>
    </row>
    <row r="44" spans="1:9" x14ac:dyDescent="0.45">
      <c r="A44" s="1"/>
      <c r="B44" s="48"/>
      <c r="C44" s="49"/>
      <c r="D44" s="49"/>
      <c r="E44" s="49"/>
      <c r="F44" s="49"/>
      <c r="G44" s="49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7253174.8379900679</v>
      </c>
      <c r="H47" s="14" t="s">
        <v>3</v>
      </c>
      <c r="I47" s="1"/>
    </row>
    <row r="48" spans="1:9" x14ac:dyDescent="0.4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145063.49675980138</v>
      </c>
      <c r="H49" s="14" t="s">
        <v>3</v>
      </c>
      <c r="I49" s="1"/>
    </row>
    <row r="50" spans="1:9" x14ac:dyDescent="0.45">
      <c r="A50" s="1"/>
      <c r="B50" s="48"/>
      <c r="C50" s="49"/>
      <c r="D50" s="49"/>
      <c r="E50" s="49"/>
      <c r="F50" s="49"/>
      <c r="G50" s="49"/>
      <c r="H50" s="20"/>
      <c r="I50" s="1"/>
    </row>
  </sheetData>
  <sheetProtection algorithmName="SHA-512" hashValue="rSgVORQ7LcLlTS3v6bQqPXxfB6BmZoteGVcKMcsxJ/8/BuYUUvc4KX3wML5GWd4SqFks18PjGHgRcj/+0XZNtw==" saltValue="NT8KrHWMGq0qtVMa+xI1vw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72</v>
      </c>
      <c r="C5" s="100"/>
      <c r="D5" s="100"/>
      <c r="E5" s="100"/>
      <c r="F5" s="101"/>
      <c r="G5" s="24">
        <v>4888007</v>
      </c>
      <c r="H5" s="14" t="s">
        <v>3</v>
      </c>
      <c r="I5" s="1"/>
    </row>
    <row r="6" spans="1:9" x14ac:dyDescent="0.45">
      <c r="A6" s="1"/>
      <c r="B6" s="99" t="s">
        <v>69</v>
      </c>
      <c r="C6" s="100"/>
      <c r="D6" s="100"/>
      <c r="E6" s="100"/>
      <c r="F6" s="101"/>
      <c r="G6" s="24">
        <f>G5*'Fane 12. Nøgletal'!C18</f>
        <v>44480.863700000002</v>
      </c>
      <c r="H6" s="14" t="s">
        <v>3</v>
      </c>
      <c r="I6" s="1"/>
    </row>
    <row r="7" spans="1:9" x14ac:dyDescent="0.45">
      <c r="A7" s="1"/>
      <c r="B7" s="48"/>
      <c r="C7" s="49"/>
      <c r="D7" s="49"/>
      <c r="E7" s="49"/>
      <c r="F7" s="49"/>
      <c r="G7" s="49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4905038.9182310104</v>
      </c>
      <c r="H10" s="14" t="s">
        <v>3</v>
      </c>
      <c r="I10" s="1"/>
    </row>
    <row r="11" spans="1:9" x14ac:dyDescent="0.4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44635.854155902198</v>
      </c>
      <c r="H12" s="14" t="s">
        <v>3</v>
      </c>
      <c r="I12" s="1"/>
    </row>
    <row r="13" spans="1:9" x14ac:dyDescent="0.45">
      <c r="A13" s="1"/>
      <c r="B13" s="48"/>
      <c r="C13" s="49"/>
      <c r="D13" s="49"/>
      <c r="E13" s="49"/>
      <c r="F13" s="49"/>
      <c r="G13" s="49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4942543.8758579772</v>
      </c>
      <c r="H16" s="14" t="s">
        <v>3</v>
      </c>
      <c r="I16" s="1"/>
    </row>
    <row r="17" spans="1:9" x14ac:dyDescent="0.45">
      <c r="A17" s="1"/>
      <c r="B17" s="99" t="s">
        <v>149</v>
      </c>
      <c r="C17" s="100"/>
      <c r="D17" s="100"/>
      <c r="E17" s="100"/>
      <c r="F17" s="101"/>
      <c r="G17" s="24">
        <v>-381601.703925838</v>
      </c>
      <c r="H17" s="14" t="s">
        <v>3</v>
      </c>
      <c r="I17" s="1"/>
    </row>
    <row r="18" spans="1:9" x14ac:dyDescent="0.45">
      <c r="A18" s="1"/>
      <c r="B18" s="102" t="s">
        <v>79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4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39680.196895809611</v>
      </c>
      <c r="H19" s="14" t="s">
        <v>3</v>
      </c>
      <c r="I19" s="1"/>
    </row>
    <row r="20" spans="1:9" x14ac:dyDescent="0.45">
      <c r="A20" s="1"/>
      <c r="B20" s="48"/>
      <c r="C20" s="49"/>
      <c r="D20" s="49"/>
      <c r="E20" s="49"/>
      <c r="F20" s="49"/>
      <c r="G20" s="49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4597671.3024144433</v>
      </c>
      <c r="H23" s="14" t="s">
        <v>3</v>
      </c>
      <c r="I23" s="1"/>
    </row>
    <row r="24" spans="1:9" x14ac:dyDescent="0.45">
      <c r="A24" s="1"/>
      <c r="B24" s="102" t="s">
        <v>83</v>
      </c>
      <c r="C24" s="103"/>
      <c r="D24" s="103"/>
      <c r="E24" s="103"/>
      <c r="F24" s="104"/>
      <c r="G24" s="24">
        <v>1947217.8731740618</v>
      </c>
      <c r="H24" s="14" t="s">
        <v>3</v>
      </c>
      <c r="I24" s="1"/>
    </row>
    <row r="25" spans="1:9" x14ac:dyDescent="0.4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95300.727929149012</v>
      </c>
      <c r="H25" s="14" t="s">
        <v>3</v>
      </c>
      <c r="I25" s="1"/>
    </row>
    <row r="26" spans="1:9" x14ac:dyDescent="0.45">
      <c r="A26" s="1"/>
      <c r="B26" s="48"/>
      <c r="C26" s="49"/>
      <c r="D26" s="49"/>
      <c r="E26" s="49"/>
      <c r="F26" s="49"/>
      <c r="G26" s="49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6528273.4267208008</v>
      </c>
      <c r="H29" s="14" t="s">
        <v>3</v>
      </c>
      <c r="I29" s="1"/>
    </row>
    <row r="30" spans="1:9" x14ac:dyDescent="0.45">
      <c r="A30" s="1"/>
      <c r="B30" s="99" t="s">
        <v>192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322169.75840590801</v>
      </c>
      <c r="H30" s="14" t="s">
        <v>3</v>
      </c>
      <c r="I30" s="1"/>
    </row>
    <row r="31" spans="1:9" x14ac:dyDescent="0.4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188387.18759098448</v>
      </c>
      <c r="H31" s="14" t="s">
        <v>3</v>
      </c>
      <c r="I31" s="1"/>
    </row>
    <row r="32" spans="1:9" x14ac:dyDescent="0.45">
      <c r="A32" s="1"/>
      <c r="B32" s="48"/>
      <c r="C32" s="49"/>
      <c r="D32" s="49"/>
      <c r="E32" s="49"/>
      <c r="F32" s="49"/>
      <c r="G32" s="49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6743333.0807056604</v>
      </c>
      <c r="H35" s="14" t="s">
        <v>3</v>
      </c>
      <c r="I35" s="1"/>
    </row>
    <row r="36" spans="1:9" x14ac:dyDescent="0.4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185441.65971940567</v>
      </c>
      <c r="H37" s="14" t="s">
        <v>3</v>
      </c>
      <c r="I37" s="1"/>
    </row>
    <row r="38" spans="1:9" x14ac:dyDescent="0.45">
      <c r="A38" s="1"/>
      <c r="B38" s="48"/>
      <c r="C38" s="49"/>
      <c r="D38" s="49"/>
      <c r="E38" s="49"/>
      <c r="F38" s="49"/>
      <c r="G38" s="49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6637897.6963222865</v>
      </c>
      <c r="H41" s="14" t="s">
        <v>3</v>
      </c>
      <c r="I41" s="1"/>
    </row>
    <row r="42" spans="1:9" x14ac:dyDescent="0.4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182542.18664886287</v>
      </c>
      <c r="H43" s="14" t="s">
        <v>3</v>
      </c>
      <c r="I43" s="1"/>
    </row>
    <row r="44" spans="1:9" x14ac:dyDescent="0.45">
      <c r="A44" s="1"/>
      <c r="B44" s="48"/>
      <c r="C44" s="49"/>
      <c r="D44" s="49"/>
      <c r="E44" s="49"/>
      <c r="F44" s="49"/>
      <c r="G44" s="49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6534110.8468914395</v>
      </c>
      <c r="H47" s="14" t="s">
        <v>3</v>
      </c>
      <c r="I47" s="1"/>
    </row>
    <row r="48" spans="1:9" x14ac:dyDescent="0.4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179688.04828951458</v>
      </c>
      <c r="H49" s="14" t="s">
        <v>3</v>
      </c>
      <c r="I49" s="1"/>
    </row>
    <row r="50" spans="1:9" x14ac:dyDescent="0.45">
      <c r="A50" s="1"/>
      <c r="B50" s="48"/>
      <c r="C50" s="49"/>
      <c r="D50" s="49"/>
      <c r="E50" s="49"/>
      <c r="F50" s="49"/>
      <c r="G50" s="49"/>
      <c r="H50" s="20"/>
      <c r="I50" s="1"/>
    </row>
  </sheetData>
  <sheetProtection algorithmName="SHA-512" hashValue="wxacXbKXT+rjynzS1r/zXkgiWPFb7dJ2Q/ZFSgi5s2d3x+XkS+4B58iKt0ksWlQ+DGJ0RWQu9M20hlm+wguA2g==" saltValue="YOQNGfioOlfW9VVyyDwbwg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45">
      <c r="A9" s="1"/>
      <c r="B9" s="99" t="s">
        <v>124</v>
      </c>
      <c r="C9" s="100"/>
      <c r="D9" s="100"/>
      <c r="E9" s="100"/>
      <c r="F9" s="101"/>
      <c r="G9" s="23">
        <v>1.2592296413639924E-2</v>
      </c>
      <c r="H9" s="14"/>
      <c r="I9" s="1"/>
    </row>
    <row r="10" spans="1:9" x14ac:dyDescent="0.45">
      <c r="A10" s="1"/>
      <c r="B10" s="99" t="s">
        <v>181</v>
      </c>
      <c r="C10" s="100"/>
      <c r="D10" s="100"/>
      <c r="E10" s="100"/>
      <c r="F10" s="101"/>
      <c r="G10" s="23">
        <v>7.5760916334799578E-3</v>
      </c>
      <c r="H10" s="14"/>
      <c r="I10" s="1"/>
    </row>
    <row r="11" spans="1:9" x14ac:dyDescent="0.45">
      <c r="A11" s="1"/>
      <c r="B11" s="48"/>
      <c r="C11" s="49"/>
      <c r="D11" s="49"/>
      <c r="E11" s="49"/>
      <c r="F11" s="49"/>
      <c r="G11" s="49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nbnqrftH75ia5uionbQFepElt2wmFPn6ilcDIQr+un06ooyxtEYDONCixAUKS14FqMuBLlnkglla6UvsBJ+twA==" saltValue="VIh51fjN40Q6t/bKq4NfQ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2020-10-27T08:36:31Z</dcterms:modified>
</cp:coreProperties>
</file>