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codeName="Denne_projektmappe" defaultThemeVersion="124226"/>
  <mc:AlternateContent xmlns:mc="http://schemas.openxmlformats.org/markup-compatibility/2006">
    <mc:Choice Requires="x15">
      <x15ac:absPath xmlns:x15ac="http://schemas.microsoft.com/office/spreadsheetml/2010/11/ac" url="E:\VAND\Sagsbehandling\Drikkevand\Thisted Drikkevand AS (V184)\ØR2025\"/>
    </mc:Choice>
  </mc:AlternateContent>
  <xr:revisionPtr revIDLastSave="0" documentId="13_ncr:1_{0993A97D-3967-4094-BBE5-F563AD94DBCB}"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43"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1"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 r:id="rId22"/>
  </externalReferences>
  <definedNames>
    <definedName name="Fane21">'Fane 2.1. Økonomisk ramme 2025'!$B$8:$D$33</definedName>
    <definedName name="Fane21total">'Fane 2.1. Økonomisk ramme 2025'!$C$33</definedName>
    <definedName name="Fane22">'Fane 2.2. Økonomisk ramme 2026'!$B$8:$D$21</definedName>
    <definedName name="Fane22total">'Fane 2.2. Økonomisk ramme 2026'!$C$21</definedName>
    <definedName name="Fane23">'Fane 2.3. Økonomisk ramme 2027'!$B$8:$D$21</definedName>
    <definedName name="Fane23total">'Fane 2.3. Økonomisk ramme 2027'!$C$21</definedName>
    <definedName name="Fane24">'Fane 2.4. Økonomisk ramme 2028'!$B$8:$D$19</definedName>
    <definedName name="Fane24total">'Fane 2.4. Økonomisk ramme 2028'!$C$19</definedName>
    <definedName name="Fane3total">'Fane 3. Omkostninger i ØR2024'!$C$34</definedName>
    <definedName name="Pris19">[1]Nøgletal!$C$5</definedName>
    <definedName name="Pris20">[2]Nøgletal!$C$6</definedName>
    <definedName name="Pris21">[2]Nøgletal!$C$7</definedName>
    <definedName name="Pris21UnderSpild">[2]Nøgletal!$E$7</definedName>
    <definedName name="Pris23">[3]Nøgletal!$C$9</definedName>
    <definedName name="Pris24">[3]Nøgletal!$C$10</definedName>
    <definedName name="PrisDecimal19">[4]Nøgletal!$B$5</definedName>
    <definedName name="PrisDecimal20">[4]Nøgletal!$B$6</definedName>
    <definedName name="PrisDecimal21">[4]Nøgletal!$B$7</definedName>
    <definedName name="PrisDecimal21UnderSpild">[4]Nøgletal!$D$7</definedName>
    <definedName name="PrisDecimal22">[4]Nøgletal!$B$8</definedName>
    <definedName name="Tabel_Fane_11">'Fane 11. Tilknyttet virksomhed'!$B$8:$F$12</definedName>
    <definedName name="Tabel_Fane_12">'Fane 12. Bortfald'!$B$8:$F$11</definedName>
    <definedName name="Tabel_Fane_2_1">'Fane 2.1. Økonomisk ramme 2025'!$B$8:$D$34</definedName>
    <definedName name="Tabel_Fane_2_2">'Fane 2.2. Økonomisk ramme 2026'!$B$8:$D$21</definedName>
    <definedName name="Tabel_Fane_2_3">'Fane 2.3. Økonomisk ramme 2027'!$B$8:$D$21</definedName>
    <definedName name="Tabel_Fane_2_4">'Fane 2.4. Økonomisk ramme 2028'!$B$8:$D$19</definedName>
    <definedName name="Tabel_Fane_3">'Fane 3. Omkostninger i ØR2024'!$B$8:$D$34</definedName>
    <definedName name="ØR24total">'Fane 3. Omkostninger i ØR2024'!$C$34</definedName>
    <definedName name="ØR25total">'Fane 2.1. Økonomisk ramme 2025'!$C$33</definedName>
    <definedName name="ØR26total">'Fane 2.2. Økonomisk ramme 2026'!$C$21</definedName>
    <definedName name="ØR27total">'Fane 2.3. Økonomisk ramme 2027'!$C$21</definedName>
    <definedName name="ØR28total">'Fane 2.4. Økonomisk ramme 2028'!$C$19</definedName>
  </definedNames>
  <calcPr calcId="191029"/>
</workbook>
</file>

<file path=xl/calcChain.xml><?xml version="1.0" encoding="utf-8"?>
<calcChain xmlns="http://schemas.openxmlformats.org/spreadsheetml/2006/main">
  <c r="C10" i="30" l="1"/>
  <c r="C11" i="21"/>
  <c r="C12" i="2" s="1"/>
  <c r="C24" i="41" l="1"/>
  <c r="C10" i="36" l="1"/>
  <c r="C9" i="2" l="1"/>
  <c r="F10" i="11" l="1"/>
  <c r="F11" i="11" s="1"/>
  <c r="C11" i="29"/>
  <c r="C12" i="29" l="1"/>
  <c r="E11" i="29" l="1"/>
  <c r="C20" i="43" l="1"/>
  <c r="E12" i="29" l="1"/>
  <c r="C16" i="41" l="1"/>
  <c r="C15" i="41"/>
  <c r="C17" i="41" l="1"/>
  <c r="C28" i="41" s="1"/>
  <c r="C18" i="23" l="1"/>
  <c r="C20" i="15"/>
  <c r="C32" i="2"/>
  <c r="E17" i="39" l="1"/>
  <c r="E18" i="39" s="1"/>
  <c r="C17" i="39"/>
  <c r="C18" i="39" s="1"/>
  <c r="J11" i="11" l="1"/>
  <c r="E10" i="37" s="1"/>
  <c r="H11" i="11"/>
  <c r="C10" i="37" s="1"/>
  <c r="C30" i="41" l="1"/>
  <c r="C18" i="15" l="1"/>
  <c r="C30" i="2"/>
  <c r="C18" i="40" l="1"/>
  <c r="C19" i="19" l="1"/>
  <c r="C20" i="19" s="1"/>
  <c r="C16" i="43" l="1"/>
  <c r="C16" i="23"/>
  <c r="C16" i="15"/>
  <c r="C15" i="2"/>
  <c r="E22" i="37"/>
  <c r="E23" i="37" s="1"/>
  <c r="C22" i="37"/>
  <c r="C23" i="37" s="1"/>
  <c r="C24" i="2" l="1"/>
  <c r="C26" i="2" s="1"/>
  <c r="C11" i="2" l="1"/>
  <c r="E11" i="21"/>
  <c r="C13" i="2" s="1"/>
  <c r="C16" i="36" l="1"/>
  <c r="C25" i="2" l="1"/>
  <c r="C27" i="2" s="1"/>
  <c r="C28" i="2" l="1"/>
  <c r="C10" i="2" l="1"/>
  <c r="C14" i="2"/>
  <c r="C16" i="30" l="1"/>
  <c r="C16" i="2"/>
  <c r="C22" i="2"/>
  <c r="C11" i="30" l="1"/>
  <c r="C15" i="30" s="1"/>
  <c r="C17" i="30" s="1"/>
  <c r="C18" i="2" l="1"/>
  <c r="C21" i="30" l="1"/>
  <c r="C11" i="36"/>
  <c r="C15" i="36" s="1"/>
  <c r="C17" i="2" l="1"/>
  <c r="C17" i="36"/>
  <c r="C19" i="2" s="1"/>
  <c r="C20" i="2" l="1"/>
  <c r="C33" i="2" s="1"/>
  <c r="C21" i="36"/>
  <c r="C22" i="36" s="1"/>
  <c r="C13" i="15" s="1"/>
  <c r="C22" i="30"/>
  <c r="C9" i="15" l="1"/>
  <c r="C10" i="15" s="1"/>
  <c r="C26" i="36"/>
  <c r="C27" i="36" s="1"/>
  <c r="C13" i="43" s="1"/>
  <c r="C12" i="15"/>
  <c r="C26" i="30"/>
  <c r="C27" i="30" s="1"/>
  <c r="C12" i="43" s="1"/>
  <c r="C11" i="15" l="1"/>
  <c r="C31" i="36"/>
  <c r="C32" i="36" s="1"/>
  <c r="C13" i="23" s="1"/>
  <c r="C31" i="30"/>
  <c r="C14" i="15" l="1"/>
  <c r="C9" i="43" s="1"/>
  <c r="C10" i="43" s="1"/>
  <c r="C32" i="30"/>
  <c r="C12" i="23" s="1"/>
  <c r="C21" i="15" l="1"/>
  <c r="C11" i="43"/>
  <c r="C14" i="43" l="1"/>
  <c r="C9" i="23" s="1"/>
  <c r="C10" i="23" l="1"/>
  <c r="C11" i="23" s="1"/>
  <c r="C14" i="23" s="1"/>
  <c r="C19" i="23" s="1"/>
  <c r="C21" i="43"/>
</calcChain>
</file>

<file path=xl/sharedStrings.xml><?xml version="1.0" encoding="utf-8"?>
<sst xmlns="http://schemas.openxmlformats.org/spreadsheetml/2006/main" count="477" uniqueCount="214">
  <si>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</si>
  <si>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</si>
  <si>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</si>
  <si>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</si>
  <si>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</si>
  <si>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</si>
  <si>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</si>
  <si>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</si>
  <si>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</si>
  <si>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</si>
  <si>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</si>
  <si>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</si>
  <si>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</si>
  <si>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</si>
  <si>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</si>
  <si>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</si>
  <si>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</si>
  <si>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</si>
  <si>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</si>
  <si>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</si>
  <si>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</si>
  <si>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</si>
  <si>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</si>
  <si>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</si>
  <si>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</si>
  <si>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</si>
  <si>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</si>
  <si>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</si>
  <si>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</si>
  <si>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</si>
  <si>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</si>
  <si>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</si>
  <si>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</si>
  <si>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</si>
  <si>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Nye varige tillæg</t>
  </si>
  <si>
    <t>Engangstillæg - Drift</t>
  </si>
  <si>
    <t>Engangstillæg - Anlæg</t>
  </si>
  <si>
    <t>Fane 7</t>
  </si>
  <si>
    <t>Varige tillæg</t>
  </si>
  <si>
    <t>Engangstillæg</t>
  </si>
  <si>
    <t>Engangstillæg i alt</t>
  </si>
  <si>
    <t>Fane 5: Individuelt effektiviseringskrav</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</si>
  <si>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</si>
  <si>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</si>
  <si>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</si>
  <si>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</si>
  <si>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</si>
  <si>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</si>
  <si>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</si>
  <si>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</si>
  <si>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</si>
  <si>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</si>
  <si>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</si>
  <si>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</si>
  <si>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</si>
  <si>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</si>
  <si>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Generelt effektiviseringskrav til brug for driftsomkostninger</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</si>
  <si>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</si>
  <si>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</si>
  <si>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</si>
  <si>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</si>
  <si>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</si>
  <si>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</si>
  <si>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2023</t>
  </si>
  <si>
    <t>Kontrol med de økonomiske rammer til indregning</t>
  </si>
  <si>
    <t>Kontrol med overholdelse af økonomiske rammer</t>
  </si>
  <si>
    <t>Kontrol med overholdelse af den økonomiske ramme</t>
  </si>
  <si>
    <t>Økonomisk ramme for 2024</t>
  </si>
  <si>
    <t>Videreførte omkostninger fra den økonomiske ramme for 2024</t>
  </si>
  <si>
    <t>Økonomisk ramme for 2025</t>
  </si>
  <si>
    <t xml:space="preserve">Indtægter fra tilbagebetalt skat eller sambeskatningsbidrag som følge af skattesagen </t>
  </si>
  <si>
    <t xml:space="preserve">Nedsættelse af økonomisk ramme som følge af skattesagen </t>
  </si>
  <si>
    <t>Videreførte omkostninger fra den økonomiske ramme for 2025</t>
  </si>
  <si>
    <t>Økonomisk ramme for 2026</t>
  </si>
  <si>
    <t>Anlægsprojekter igangsat senest den 1. marts 2016</t>
  </si>
  <si>
    <t>Generelt effektiviseringskrav til driftsomkostninger i de økonomiske rammer for 2024</t>
  </si>
  <si>
    <t>Generelt effektiviseringskrav til anlægsomkostninger i de økonomiske rammer for 2024</t>
  </si>
  <si>
    <t>Anlægsprojekter igangsat inden 1. marts 2016</t>
  </si>
  <si>
    <t xml:space="preserve">Anlægsprojekter (§ 19) </t>
  </si>
  <si>
    <t>Effektiviseringskrav (generelt og individuelt) – Drift</t>
  </si>
  <si>
    <t>Effektiviseringskrav (generelt og individuelt) – Anlæg</t>
  </si>
  <si>
    <t>Generelt effektiviseringskrav til driftsomkostningerne i ØR24</t>
  </si>
  <si>
    <t xml:space="preserve"> </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</si>
  <si>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</si>
  <si>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</si>
  <si>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</si>
  <si>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</si>
  <si>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</si>
  <si>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</si>
  <si>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</si>
  <si>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</si>
  <si>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</si>
  <si>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</si>
  <si>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</si>
  <si>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</si>
  <si>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</si>
  <si>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</si>
  <si>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</si>
  <si>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</si>
  <si>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</si>
  <si>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</si>
  <si>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</si>
  <si>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</si>
  <si>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</si>
  <si>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</si>
  <si>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</si>
  <si>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</si>
  <si>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</si>
  <si>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Videreførte omkostninger fra den økonomiske ramme for 2026</t>
  </si>
  <si>
    <t>Økonomisk ramme for 2027</t>
  </si>
  <si>
    <t>Nye varige driftsomkostninger til de økonomiske rammer for 2024</t>
  </si>
  <si>
    <t>Generelt effektiviseringskrav til brug for nye anlægsomkostninger i ØR2024</t>
  </si>
  <si>
    <t>Nye tillæg i alt i 2023-prisniveau</t>
  </si>
  <si>
    <t>Nye varige anlægsomkostninger til de økonomiske rammer for 2024</t>
  </si>
  <si>
    <t>Generelt effektiviseringskrav til anlægsomkostningerne i ØR24</t>
  </si>
  <si>
    <t>Tilknyttet virksomhed under hovedvirksomheden i alt (2023-prisniveau)</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</si>
  <si>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</si>
  <si>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</si>
  <si>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</si>
  <si>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</si>
  <si>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</si>
  <si>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</si>
  <si>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Fradrag i den økonomiske ramme i årene</t>
  </si>
  <si>
    <t>Samlet økonomisk ramme for 2025</t>
  </si>
  <si>
    <t>Vejledende økonomisk ramme for 2028</t>
  </si>
  <si>
    <t>Omkostninger i ØR2024</t>
  </si>
  <si>
    <t>Kontrol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</si>
  <si>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</si>
  <si>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</si>
  <si>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</si>
  <si>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</si>
  <si>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</si>
  <si>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</si>
  <si>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</si>
  <si>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</si>
  <si>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driftsomkostninger i de vejledende økonomiske rammer for 2028</t>
  </si>
  <si>
    <t>Base for driftsomkostninger til de vejledende økonomiske rammer for 2028</t>
  </si>
  <si>
    <t>Vejledende generelt effektiviseringskrav til driftsomkostningerne i ØR28</t>
  </si>
  <si>
    <t>Generelt effektiviseringskrav til anlægsomkostninger i de vejledende økonomiske rammer for 2028</t>
  </si>
  <si>
    <t>Base for anlægsomkostninger til de vejledende økonomiske rammer for 2028</t>
  </si>
  <si>
    <t>Vejledende generelt effektiviseringskrav til anlægsomkostningerne i ØR28</t>
  </si>
  <si>
    <t>Faktiske ikke-påvirkelige omkostninger i 2023</t>
  </si>
  <si>
    <t>Ikke-påvirkelige omkostninger i 2023-prisniveau</t>
  </si>
  <si>
    <t>Ikke-påvirkelige omkostninger i 2025-prisniveau</t>
  </si>
  <si>
    <t>Omkostninger i 2023</t>
  </si>
  <si>
    <t>Omkostninger til § 19-tillæg i alt - 2023 prisniveau</t>
  </si>
  <si>
    <t>Nye tillæg i alt i 2024-prisniveau</t>
  </si>
  <si>
    <t>Engangstillæg i alt i 2023-prisniveau</t>
  </si>
  <si>
    <t>Engangstillæg i alt i 2025-prisniveau</t>
  </si>
  <si>
    <t>Engangstillæg til de økonomiske rammer for 2025</t>
  </si>
  <si>
    <t>Tilknyttet virksomhed under hovedvirksomheden i alt (2024-prisniveau)</t>
  </si>
  <si>
    <t>Bortfald eller nedsættelse fra og med de økonomiske rammer for 2025</t>
  </si>
  <si>
    <t>Generelt effektiviseringskrav til driftsomkostninger i de økonomiske rammer for 2025</t>
  </si>
  <si>
    <t>Nye varige driftsomkostninger til de økonomiske rammer for 2025</t>
  </si>
  <si>
    <t>Generelt effektiviseringskrav til driftsomkostningerne i ØR25</t>
  </si>
  <si>
    <t>Generelt effektiviseringskrav til anlægsomkostninger i de økonomiske rammer for 2025</t>
  </si>
  <si>
    <t>Nye varige anlægsomkostninger til de økonomiske rammer for 2025</t>
  </si>
  <si>
    <t>Generelt effektiviseringskrav til anlægsomkostningerne i ØR25</t>
  </si>
  <si>
    <t>Samlet økonomisk ramme for 2026</t>
  </si>
  <si>
    <t>Individuelt effektiviseringskrav til de økonomiske rammer for 2025-2026</t>
  </si>
  <si>
    <t>Note: Beregningen af jeres individuelle effektiviseringskrav fremgår af metodepapir samt bilag til benchmarkingmodellen 2025.</t>
  </si>
  <si>
    <t>Base for anlægsomkostninger til de økonomiske rammer for 2024</t>
  </si>
  <si>
    <t>Base for anlægsomkostninger til de økonomiske rammer for 2025</t>
  </si>
  <si>
    <t>Base for anlægsomkostninger til de økonomiske rammer for 2026</t>
  </si>
  <si>
    <t>Generelt effektiviseringskrav til anlægsomkostningerne i ØR26</t>
  </si>
  <si>
    <t>Generelt effektiviseringskrav til anlægsomkostninger i de økonomiske rammer for 2026</t>
  </si>
  <si>
    <t>Base for driftsomkostninger til de økonomiske rammer for 2024</t>
  </si>
  <si>
    <t>Base for driftsomkostninger til de økonomiske rammer for 2025</t>
  </si>
  <si>
    <t>Base for driftsomkostninger til de økonomiske rammer for 2026</t>
  </si>
  <si>
    <t>Generelt effektiviseringskrav til driftsomkostninger i de økonomiske rammer for 2026</t>
  </si>
  <si>
    <t>Generelt effektiviseringskrav til driftsomkostningerne i ØR26</t>
  </si>
  <si>
    <t>Fane 7: Kontrol med overholdelse af den økonomiske ramme for 2023</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</si>
  <si>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</si>
  <si>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Over/underdækning i 2022</t>
  </si>
  <si>
    <t>Tidligere opgjorte over/underdækninger i forrige reguleringsperiode</t>
  </si>
  <si>
    <t>Over/underdækning før 2022</t>
  </si>
  <si>
    <t>Fradrag i de økonomiske rammer for 2025-2026 vedr. overdækning i 2022</t>
  </si>
  <si>
    <t>Evt. overdækning i 2022</t>
  </si>
  <si>
    <t>Fradrag i de økonomiske rammer for 2025-2026 vedr. en evt. overdækning i 2022</t>
  </si>
  <si>
    <t>Kontrol med overholdelse af den økonomiske ramme for 2023</t>
  </si>
  <si>
    <t>Indtægtsramme i den økonomiske ramme for 2023</t>
  </si>
  <si>
    <t>Faktiske indtægter i 2023</t>
  </si>
  <si>
    <t>Resultat af kontrol med overholdelse af den økonomiske rammer for 2023</t>
  </si>
  <si>
    <t>Samlet fradrag til indregning i de økonomiske rammer for 2025-2026</t>
  </si>
  <si>
    <t>Evt. underdækning før 2022</t>
  </si>
  <si>
    <t>Prisudvikling til brug for nye omkostninger i ØR2024</t>
  </si>
  <si>
    <t>Prisudvikling til brug for ØR2023-2024</t>
  </si>
  <si>
    <t>Generelt effektiviseringskrav til brug for anlægsomkostninger i ØR2023-2024</t>
  </si>
  <si>
    <t>Ingen tilknyttet virksomhed under hovedvirksomheden</t>
  </si>
  <si>
    <t>Ingen anlægsprojekter</t>
  </si>
  <si>
    <t xml:space="preserve">Note: Denne opgørelse er taget fra jeres økonomiske ramme for 2024. 
I kan derfor ikke komme med høringssvar til denne opgørelse. </t>
  </si>
  <si>
    <t>Prisudvikling til brug for ØR2025-2026</t>
  </si>
  <si>
    <t>Generelt effektiviseringskrav til brug for anlægsomkostninger i ØR2025-2026</t>
  </si>
  <si>
    <t>Til økonomisk ramme for 2025-2026</t>
  </si>
  <si>
    <t>Afgift for ledningsført vand</t>
  </si>
  <si>
    <t>Afgift til Forsyningssekretariatet</t>
  </si>
  <si>
    <t>Erstatninger</t>
  </si>
  <si>
    <t>Tillæg 2 - Nye kunder og byggemodninger</t>
  </si>
  <si>
    <t>Nødstrømsanlæg Hanstholm Vandværk</t>
  </si>
  <si>
    <t>Nødstrømsanlæg Baun Vandværk</t>
  </si>
  <si>
    <t>Nødstrømsanlæg mindre vandværker</t>
  </si>
  <si>
    <t xml:space="preserve">kr. </t>
  </si>
  <si>
    <t>Sektionering (etablering og uskiftning af sektionsbrønde og tryk-forøgere)</t>
  </si>
  <si>
    <t>Sektionering (36790 - Vegendalvej, Østerbakken, Provst sonnes Vej og sek)</t>
  </si>
  <si>
    <t>Sektionering (36827 - Etape 2 Vegendalvej, Østerbakken, Provst Sonnes)</t>
  </si>
  <si>
    <t>Kildeplads - Undersøgelse af ny kildeplads (Snedsted)</t>
  </si>
  <si>
    <t>Strukturanalyse - undersøgelse af nye kildepladser</t>
  </si>
  <si>
    <t>Kildeopsporing af PFAS i Sårup mv.</t>
  </si>
  <si>
    <t>BNBO/Nitratbeskyttelse Baun,Vang, Tåbel og Villerslev VV</t>
  </si>
  <si>
    <t>Periodevise driftsomkostninger – Indvindingstilladelse i Tåbel</t>
  </si>
  <si>
    <t>Periodevise driftsomkostninger – Indvindingstilladelse i Hanstholm</t>
  </si>
  <si>
    <t>Periodevise driftsomkostninger – Indvindingstilladelser i Baun og Tved</t>
  </si>
  <si>
    <t>Indvindingstilladelser Baun og Tved</t>
  </si>
  <si>
    <t>Bortfald eller nedsættelse i alt i 2024-prisniveau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</si>
</sst>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2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0" fontId="8" fillId="8" borderId="2" xfId="0" quotePrefix="1" applyFont="1" applyFill="1" applyBorder="1" applyAlignment="1" applyProtection="1">
      <alignment horizontal="left" wrapText="1"/>
    </xf>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0" fontId="8" fillId="4" borderId="3" xfId="0" applyFont="1" applyFill="1" applyBorder="1" applyAlignment="1" applyProtection="1">
      <alignment wrapText="1"/>
    </xf>
    <xf numFmtId="0" fontId="8" fillId="8" borderId="2" xfId="0" applyFont="1" applyFill="1" applyBorder="1" applyAlignment="1" applyProtection="1"/>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164" fontId="7" fillId="3" borderId="6" xfId="1" applyFont="1" applyFill="1" applyBorder="1" applyAlignment="1" applyProtection="1"/>
    <xf numFmtId="0" fontId="8" fillId="0" borderId="1" xfId="0" applyFont="1" applyFill="1" applyBorder="1" applyAlignment="1" applyProtection="1"/>
    <xf numFmtId="10" fontId="8" fillId="0" borderId="1" xfId="0" applyNumberFormat="1" applyFont="1" applyFill="1" applyBorder="1" applyProtection="1"/>
    <xf numFmtId="0" fontId="8" fillId="4" borderId="1" xfId="0" applyFont="1" applyFill="1" applyBorder="1" applyAlignment="1" applyProtection="1"/>
    <xf numFmtId="3" fontId="8" fillId="4" borderId="2" xfId="0" applyNumberFormat="1" applyFont="1" applyFill="1" applyBorder="1" applyAlignment="1" applyProtection="1">
      <alignment horizontal="right"/>
    </xf>
    <xf numFmtId="0" fontId="8" fillId="8" borderId="2" xfId="0" quotePrefix="1" applyFont="1" applyFill="1" applyBorder="1" applyAlignment="1" applyProtection="1">
      <alignment wrapText="1"/>
    </xf>
    <xf numFmtId="165" fontId="8" fillId="0" borderId="1" xfId="1" applyNumberFormat="1" applyFont="1" applyFill="1" applyBorder="1" applyProtection="1"/>
    <xf numFmtId="10" fontId="8" fillId="0" borderId="3" xfId="4" applyNumberFormat="1" applyFont="1" applyFill="1" applyBorder="1" applyAlignment="1" applyProtection="1">
      <alignment horizontal="right"/>
    </xf>
    <xf numFmtId="0" fontId="8" fillId="4" borderId="2" xfId="0" applyFont="1" applyFill="1" applyBorder="1" applyAlignment="1" applyProtection="1"/>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applyFont="1" applyFill="1" applyBorder="1" applyAlignment="1" applyProtection="1">
      <alignmen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2" xfId="0" applyNumberFormat="1" applyFont="1" applyFill="1" applyBorder="1" applyAlignment="1" applyProtection="1">
      <alignment wrapText="1"/>
    </xf>
    <xf numFmtId="1" fontId="8" fillId="8" borderId="1" xfId="1" applyNumberFormat="1" applyFont="1" applyFill="1" applyBorder="1" applyProtection="1"/>
    <xf numFmtId="3" fontId="8" fillId="4" borderId="1" xfId="0" applyNumberFormat="1" applyFont="1" applyFill="1" applyBorder="1" applyAlignment="1" applyProtection="1">
      <alignment horizontal="right"/>
    </xf>
    <xf numFmtId="165" fontId="8" fillId="4" borderId="1" xfId="1" applyNumberFormat="1" applyFont="1" applyFill="1" applyBorder="1" applyProtection="1"/>
    <xf numFmtId="10" fontId="14" fillId="0" borderId="1" xfId="4" applyNumberFormat="1" applyFont="1" applyFill="1" applyBorder="1" applyAlignment="1" applyProtection="1">
      <alignment horizontal="right"/>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49" fontId="8" fillId="8" borderId="1" xfId="0" applyNumberFormat="1" applyFont="1" applyFill="1" applyBorder="1" applyAlignment="1" applyProtection="1"/>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12"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0" fillId="0" borderId="0" xfId="0" applyBorder="1" applyAlignment="1" applyProtection="1">
      <alignment horizontal="center"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8"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xf numFmtId="0" fontId="8" fillId="0" borderId="1" xfId="0" applyFont="1" applyBorder="1" applyAlignment="1" applyProtection="1">
      <alignment horizontal="justify" vertical="center"/>
    </xf>
    <xf numFmtId="0" fontId="8" fillId="0" borderId="1" xfId="0" applyFont="1" applyBorder="1" applyAlignment="1" applyProtection="1">
      <alignment vertical="center" wrapText="1"/>
    </xf>
    <xf numFmtId="0" fontId="8" fillId="0" borderId="1" xfId="0" applyFont="1" applyBorder="1" applyAlignment="1" applyProtection="1">
      <alignment horizontal="left" wrapText="1"/>
    </xf>
    <xf numFmtId="0" fontId="8" fillId="0" borderId="2" xfId="0" applyFont="1" applyBorder="1" applyAlignment="1" applyProtection="1">
      <alignment vertical="center"/>
    </xf>
    <xf numFmtId="0" fontId="8" fillId="0" borderId="1" xfId="0" applyFont="1" applyBorder="1" applyAlignment="1" applyProtection="1">
      <alignment vertical="center"/>
    </xf>
    <xf numFmtId="3" fontId="8" fillId="0" borderId="0" xfId="0" applyNumberFormat="1" applyFont="1" applyProtection="1"/>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FBFBF"/>
      <color rgb="FFF2DCDB"/>
      <color rgb="FFB6DDF3"/>
      <color rgb="FF212121"/>
      <color rgb="FF650816"/>
      <color rgb="FF4C4C4C"/>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CU2204\enheder\VAND\Skabeloner\&#216;konomiske%20rammer\2024\TEST_statusark%20og%20bilag%20A\TEST_LAGU\&#216;R-statusark.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5-28"/>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sheetData sheetId="10">
        <row r="5">
          <cell r="C5">
            <v>1.0168999999999999</v>
          </cell>
        </row>
      </sheetData>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5-28"/>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sheetData sheetId="10">
        <row r="9">
          <cell r="C9">
            <v>1.0356000000000001</v>
          </cell>
        </row>
        <row r="10">
          <cell r="C10">
            <v>1.0808</v>
          </cell>
        </row>
      </sheetData>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G51"/>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78" t="s">
        <v>4</v>
      </c>
      <c r="D6" s="78"/>
      <c r="E6" s="78"/>
      <c r="F6" s="78"/>
      <c r="G6" s="1"/>
    </row>
    <row r="7" spans="1:7" ht="15" customHeight="1" x14ac:dyDescent="0.25">
      <c r="A7" s="1"/>
      <c r="B7" s="3"/>
      <c r="C7" s="78"/>
      <c r="D7" s="78"/>
      <c r="E7" s="78"/>
      <c r="F7" s="78"/>
      <c r="G7" s="1"/>
    </row>
    <row r="8" spans="1:7" ht="15.75" x14ac:dyDescent="0.25">
      <c r="A8" s="1"/>
      <c r="B8" s="4"/>
      <c r="C8" s="83" t="s">
        <v>193</v>
      </c>
      <c r="D8" s="83"/>
      <c r="E8" s="83"/>
      <c r="F8" s="83"/>
      <c r="G8" s="1"/>
    </row>
    <row r="9" spans="1:7" x14ac:dyDescent="0.25">
      <c r="A9" s="1"/>
      <c r="B9" s="5"/>
      <c r="C9" s="5"/>
      <c r="D9" s="5"/>
      <c r="E9" s="5"/>
      <c r="F9" s="5"/>
      <c r="G9" s="1"/>
    </row>
    <row r="10" spans="1:7" x14ac:dyDescent="0.25">
      <c r="A10" s="1"/>
      <c r="B10" s="5"/>
      <c r="C10" s="5"/>
      <c r="D10" s="5"/>
      <c r="E10" s="5"/>
      <c r="F10" s="5"/>
      <c r="G10" s="1"/>
    </row>
    <row r="11" spans="1:7" x14ac:dyDescent="0.25">
      <c r="A11" s="1"/>
      <c r="B11" s="5"/>
      <c r="C11" s="82" t="s">
        <v>5</v>
      </c>
      <c r="D11" s="82"/>
      <c r="E11" s="82"/>
      <c r="F11" s="82"/>
      <c r="G11" s="1"/>
    </row>
    <row r="12" spans="1:7" x14ac:dyDescent="0.25">
      <c r="A12" s="1"/>
      <c r="B12" s="1"/>
      <c r="C12" s="1"/>
      <c r="D12" s="1"/>
      <c r="E12" s="1"/>
      <c r="F12" s="1"/>
      <c r="G12" s="1"/>
    </row>
    <row r="13" spans="1:7" x14ac:dyDescent="0.25">
      <c r="A13" s="1"/>
      <c r="B13" s="6" t="s">
        <v>6</v>
      </c>
      <c r="C13" s="75" t="s">
        <v>123</v>
      </c>
      <c r="D13" s="76"/>
      <c r="E13" s="76"/>
      <c r="F13" s="77"/>
      <c r="G13" s="1"/>
    </row>
    <row r="14" spans="1:7" x14ac:dyDescent="0.25">
      <c r="A14" s="1"/>
      <c r="B14" s="6" t="s">
        <v>14</v>
      </c>
      <c r="C14" s="75" t="s">
        <v>158</v>
      </c>
      <c r="D14" s="76"/>
      <c r="E14" s="76"/>
      <c r="F14" s="77"/>
      <c r="G14" s="1"/>
    </row>
    <row r="15" spans="1:7" x14ac:dyDescent="0.25">
      <c r="A15" s="1"/>
      <c r="B15" s="6" t="s">
        <v>29</v>
      </c>
      <c r="C15" s="75" t="s">
        <v>107</v>
      </c>
      <c r="D15" s="76"/>
      <c r="E15" s="76"/>
      <c r="F15" s="77"/>
      <c r="G15" s="1"/>
    </row>
    <row r="16" spans="1:7" x14ac:dyDescent="0.25">
      <c r="A16" s="1"/>
      <c r="B16" s="6" t="s">
        <v>30</v>
      </c>
      <c r="C16" s="75" t="s">
        <v>124</v>
      </c>
      <c r="D16" s="76"/>
      <c r="E16" s="76"/>
      <c r="F16" s="77"/>
      <c r="G16" s="1"/>
    </row>
    <row r="17" spans="1:7" x14ac:dyDescent="0.25">
      <c r="A17" s="1"/>
      <c r="B17" s="6" t="s">
        <v>57</v>
      </c>
      <c r="C17" s="75" t="s">
        <v>125</v>
      </c>
      <c r="D17" s="76"/>
      <c r="E17" s="76"/>
      <c r="F17" s="77"/>
      <c r="G17" s="1"/>
    </row>
    <row r="18" spans="1:7" x14ac:dyDescent="0.25">
      <c r="A18" s="1"/>
      <c r="B18" s="6" t="s">
        <v>49</v>
      </c>
      <c r="C18" s="84" t="s">
        <v>42</v>
      </c>
      <c r="D18" s="85"/>
      <c r="E18" s="85"/>
      <c r="F18" s="86"/>
      <c r="G18" s="1"/>
    </row>
    <row r="19" spans="1:7" x14ac:dyDescent="0.25">
      <c r="A19" s="1"/>
      <c r="B19" s="6" t="s">
        <v>50</v>
      </c>
      <c r="C19" s="84" t="s">
        <v>43</v>
      </c>
      <c r="D19" s="85"/>
      <c r="E19" s="85"/>
      <c r="F19" s="86"/>
      <c r="G19" s="1"/>
    </row>
    <row r="20" spans="1:7" x14ac:dyDescent="0.25">
      <c r="A20" s="1"/>
      <c r="B20" s="6" t="s">
        <v>7</v>
      </c>
      <c r="C20" s="84" t="s">
        <v>9</v>
      </c>
      <c r="D20" s="85"/>
      <c r="E20" s="85"/>
      <c r="F20" s="86"/>
      <c r="G20" s="1"/>
    </row>
    <row r="21" spans="1:7" x14ac:dyDescent="0.25">
      <c r="A21" s="1"/>
      <c r="B21" s="6" t="s">
        <v>51</v>
      </c>
      <c r="C21" s="90" t="s">
        <v>11</v>
      </c>
      <c r="D21" s="91"/>
      <c r="E21" s="91"/>
      <c r="F21" s="92"/>
      <c r="G21" s="1"/>
    </row>
    <row r="22" spans="1:7" x14ac:dyDescent="0.25">
      <c r="A22" s="1"/>
      <c r="B22" s="6" t="s">
        <v>37</v>
      </c>
      <c r="C22" s="79" t="s">
        <v>126</v>
      </c>
      <c r="D22" s="80"/>
      <c r="E22" s="80"/>
      <c r="F22" s="81"/>
      <c r="G22" s="1"/>
    </row>
    <row r="23" spans="1:7" x14ac:dyDescent="0.25">
      <c r="A23" s="1"/>
      <c r="B23" s="6" t="s">
        <v>8</v>
      </c>
      <c r="C23" s="79" t="s">
        <v>89</v>
      </c>
      <c r="D23" s="80"/>
      <c r="E23" s="80"/>
      <c r="F23" s="81"/>
      <c r="G23" s="1"/>
    </row>
    <row r="24" spans="1:7" x14ac:dyDescent="0.25">
      <c r="A24" s="1"/>
      <c r="B24" s="6" t="s">
        <v>85</v>
      </c>
      <c r="C24" s="79" t="s">
        <v>78</v>
      </c>
      <c r="D24" s="80"/>
      <c r="E24" s="80"/>
      <c r="F24" s="81"/>
      <c r="G24" s="1"/>
    </row>
    <row r="25" spans="1:7" x14ac:dyDescent="0.25">
      <c r="A25" s="1"/>
      <c r="B25" s="6" t="s">
        <v>86</v>
      </c>
      <c r="C25" s="79" t="s">
        <v>38</v>
      </c>
      <c r="D25" s="80"/>
      <c r="E25" s="80"/>
      <c r="F25" s="81"/>
      <c r="G25" s="1"/>
    </row>
    <row r="26" spans="1:7" x14ac:dyDescent="0.25">
      <c r="A26" s="1"/>
      <c r="B26" s="6" t="s">
        <v>87</v>
      </c>
      <c r="C26" s="79" t="s">
        <v>39</v>
      </c>
      <c r="D26" s="80"/>
      <c r="E26" s="80"/>
      <c r="F26" s="81"/>
      <c r="G26" s="1"/>
    </row>
    <row r="27" spans="1:7" x14ac:dyDescent="0.25">
      <c r="A27" s="1"/>
      <c r="B27" s="6" t="s">
        <v>52</v>
      </c>
      <c r="C27" s="79" t="s">
        <v>58</v>
      </c>
      <c r="D27" s="80"/>
      <c r="E27" s="80"/>
      <c r="F27" s="81"/>
      <c r="G27" s="1"/>
    </row>
    <row r="28" spans="1:7" x14ac:dyDescent="0.25">
      <c r="A28" s="1"/>
      <c r="B28" s="6" t="s">
        <v>46</v>
      </c>
      <c r="C28" s="79" t="s">
        <v>31</v>
      </c>
      <c r="D28" s="80"/>
      <c r="E28" s="80"/>
      <c r="F28" s="81"/>
      <c r="G28" s="1"/>
    </row>
    <row r="29" spans="1:7" x14ac:dyDescent="0.25">
      <c r="A29" s="1"/>
      <c r="B29" s="6" t="s">
        <v>88</v>
      </c>
      <c r="C29" s="87" t="s">
        <v>47</v>
      </c>
      <c r="D29" s="88"/>
      <c r="E29" s="88"/>
      <c r="F29" s="89"/>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hidden="1" x14ac:dyDescent="0.25">
      <c r="A51" s="39"/>
      <c r="B51" s="39"/>
      <c r="C51" s="39"/>
      <c r="D51" s="39"/>
      <c r="E51" s="39"/>
      <c r="F51" s="39"/>
      <c r="G51" s="39"/>
    </row>
  </sheetData>
  <sheetProtection algorithmName="SHA-512" hashValue="NNpdB3JuTtT8I8WEElwYCjLWfeIOubotDNlya4G0tMxKofGxTLv4syaiSjnNuIxhLPzeZjYmuxaz590LB8ooIg==" saltValue="TaseYM8jhIbzQ38FAbOcYA==" spinCount="100000" sheet="1" objects="1" scenarios="1"/>
  <mergeCells count="20">
    <mergeCell ref="C28:F28"/>
    <mergeCell ref="C29:F29"/>
    <mergeCell ref="C21:F21"/>
    <mergeCell ref="C24:F24"/>
    <mergeCell ref="C25:F25"/>
    <mergeCell ref="C27:F27"/>
    <mergeCell ref="C26:F26"/>
    <mergeCell ref="C23:F23"/>
    <mergeCell ref="C14:F14"/>
    <mergeCell ref="C6:F7"/>
    <mergeCell ref="C22:F22"/>
    <mergeCell ref="C11:F11"/>
    <mergeCell ref="C8:F8"/>
    <mergeCell ref="C15:F15"/>
    <mergeCell ref="C16:F16"/>
    <mergeCell ref="C13:F13"/>
    <mergeCell ref="C17:F17"/>
    <mergeCell ref="C18:F18"/>
    <mergeCell ref="C19:F19"/>
    <mergeCell ref="C20:F20"/>
  </mergeCells>
  <hyperlinks>
    <hyperlink ref="C14:F14" location="'Fane 2.2. Økonomisk ramme 2026'!A1" display="Samlet økonomisk ramme for 2026" xr:uid="{00000000-0004-0000-0000-000000000000}"/>
    <hyperlink ref="C25:F25" location="'Fane 10.1. Varige tillæg'!A1" display="Varige tillæg" xr:uid="{00000000-0004-0000-0000-000001000000}"/>
    <hyperlink ref="C27:F27" location="'Fane 11. Tilknyttet virksomhed'!A1" display="Tilknyttet virksomhed" xr:uid="{00000000-0004-0000-0000-000002000000}"/>
    <hyperlink ref="C28:F28" location="'Fane 12.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1:F21" location="'Fane 6. Ikke-påvirkelige omk.'!A1" display="Ikke-påvirkelige omkostninger" xr:uid="{00000000-0004-0000-0000-000007000000}"/>
    <hyperlink ref="C22:F22" location="'Fane 7. Kontrol af ØR2023'!A1" display="Kontrol af den økonomiske ramme for 2023" xr:uid="{00000000-0004-0000-0000-000008000000}"/>
    <hyperlink ref="C24:F24" location="'Fane 9. Anlægsprojekter (§ 19) '!A1" display="Anlægsprojekter (§ 19) " xr:uid="{00000000-0004-0000-0000-000009000000}"/>
    <hyperlink ref="C29:F29" location="'Fane 13. Nøgletal'!A1" display="Nøgletal" xr:uid="{00000000-0004-0000-0000-00000A000000}"/>
    <hyperlink ref="C17:F17" location="'Fane 3. Omkostninger i ØR2024'!A1" display="Omkostninger i ØR2024" xr:uid="{00000000-0004-0000-0000-00000B000000}"/>
    <hyperlink ref="C26:F26" location="'Fane 10.2. Engangstillæg'!A1" display="Engangstillæg" xr:uid="{00000000-0004-0000-0000-00000C000000}"/>
    <hyperlink ref="C19:F19" location="'Fane 4.2. Gen. krav - anlæg'!A1" display="Generelt effektiviseringskrav på anlæg" xr:uid="{00000000-0004-0000-0000-00000D000000}"/>
    <hyperlink ref="C18:F18" location="'Fane 4.1. Gen. krav - drift'!A1" display="Generelt effektiviseringskrav på drift" xr:uid="{00000000-0004-0000-0000-00000E000000}"/>
    <hyperlink ref="C20:F20" location="'Fane 5. Individuelt eff. krav'!A1" display="Individuelt effektiviseringskrav" xr:uid="{00000000-0004-0000-0000-00000F000000}"/>
    <hyperlink ref="C23:F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5" zeroHeight="1" x14ac:dyDescent="0.25"/>
  <cols>
    <col min="1" max="1" width="5.28515625" style="2" customWidth="1"/>
    <col min="2" max="2" width="58.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3" t="s">
        <v>55</v>
      </c>
      <c r="C3" s="93"/>
      <c r="D3" s="93"/>
      <c r="E3" s="1"/>
    </row>
    <row r="4" spans="1:5" ht="15" customHeight="1" x14ac:dyDescent="0.25">
      <c r="A4" s="1"/>
      <c r="B4" s="93"/>
      <c r="C4" s="93"/>
      <c r="D4" s="93"/>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97" t="s">
        <v>141</v>
      </c>
      <c r="C8" s="98"/>
      <c r="D8" s="99"/>
      <c r="E8" s="1"/>
    </row>
    <row r="9" spans="1:5" ht="15" customHeight="1" x14ac:dyDescent="0.25">
      <c r="A9" s="1"/>
      <c r="B9" s="49" t="s">
        <v>27</v>
      </c>
      <c r="C9" s="44" t="s">
        <v>144</v>
      </c>
      <c r="D9" s="11"/>
      <c r="E9" s="1"/>
    </row>
    <row r="10" spans="1:5" ht="15" customHeight="1" x14ac:dyDescent="0.25">
      <c r="A10" s="1"/>
      <c r="B10" s="63" t="s">
        <v>194</v>
      </c>
      <c r="C10" s="64">
        <v>18447413</v>
      </c>
      <c r="D10" s="14" t="s">
        <v>3</v>
      </c>
      <c r="E10" s="1"/>
    </row>
    <row r="11" spans="1:5" x14ac:dyDescent="0.25">
      <c r="A11" s="1"/>
      <c r="B11" s="63" t="s">
        <v>195</v>
      </c>
      <c r="C11" s="64">
        <v>105894</v>
      </c>
      <c r="D11" s="14" t="s">
        <v>3</v>
      </c>
      <c r="E11" s="1"/>
    </row>
    <row r="12" spans="1:5" x14ac:dyDescent="0.25">
      <c r="A12" s="1"/>
      <c r="B12" s="63" t="s">
        <v>196</v>
      </c>
      <c r="C12" s="64">
        <v>125713.45</v>
      </c>
      <c r="D12" s="14" t="s">
        <v>3</v>
      </c>
      <c r="E12" s="1"/>
    </row>
    <row r="13" spans="1:5" x14ac:dyDescent="0.25">
      <c r="A13" s="1"/>
      <c r="B13" s="63"/>
      <c r="C13" s="64"/>
      <c r="D13" s="14" t="s">
        <v>3</v>
      </c>
      <c r="E13" s="1"/>
    </row>
    <row r="14" spans="1:5" x14ac:dyDescent="0.25">
      <c r="A14" s="1"/>
      <c r="B14" s="63"/>
      <c r="C14" s="64"/>
      <c r="D14" s="14" t="s">
        <v>3</v>
      </c>
      <c r="E14" s="1"/>
    </row>
    <row r="15" spans="1:5" x14ac:dyDescent="0.25">
      <c r="A15" s="1"/>
      <c r="B15" s="63"/>
      <c r="C15" s="64"/>
      <c r="D15" s="14" t="s">
        <v>3</v>
      </c>
      <c r="E15" s="1"/>
    </row>
    <row r="16" spans="1:5" x14ac:dyDescent="0.25">
      <c r="A16" s="1"/>
      <c r="B16" s="63"/>
      <c r="C16" s="64"/>
      <c r="D16" s="14" t="s">
        <v>3</v>
      </c>
      <c r="E16" s="1"/>
    </row>
    <row r="17" spans="1:5" x14ac:dyDescent="0.25">
      <c r="A17" s="1"/>
      <c r="B17" s="63"/>
      <c r="C17" s="64"/>
      <c r="D17" s="14" t="s">
        <v>3</v>
      </c>
      <c r="E17" s="1"/>
    </row>
    <row r="18" spans="1:5" x14ac:dyDescent="0.25">
      <c r="A18" s="1"/>
      <c r="B18" s="63"/>
      <c r="C18" s="64"/>
      <c r="D18" s="14" t="s">
        <v>3</v>
      </c>
      <c r="E18" s="1"/>
    </row>
    <row r="19" spans="1:5" x14ac:dyDescent="0.25">
      <c r="A19" s="1"/>
      <c r="B19" s="50" t="s">
        <v>142</v>
      </c>
      <c r="C19" s="12">
        <f>SUM(C10:C18)</f>
        <v>18679020.449999999</v>
      </c>
      <c r="D19" s="13" t="s">
        <v>3</v>
      </c>
      <c r="E19" s="1"/>
    </row>
    <row r="20" spans="1:5" x14ac:dyDescent="0.25">
      <c r="A20" s="1"/>
      <c r="B20" s="50" t="s">
        <v>143</v>
      </c>
      <c r="C20" s="12">
        <f>C19*(1+'Fane 13. Nøgletal'!C11)^2</f>
        <v>21237965.745071858</v>
      </c>
      <c r="D20" s="13" t="s">
        <v>3</v>
      </c>
      <c r="E20" s="1"/>
    </row>
    <row r="21" spans="1:5" x14ac:dyDescent="0.25">
      <c r="A21" s="1"/>
      <c r="B21" s="16"/>
      <c r="C21" s="15"/>
      <c r="D21" s="15"/>
      <c r="E21" s="1"/>
    </row>
    <row r="22" spans="1:5" x14ac:dyDescent="0.25">
      <c r="A22" s="1"/>
      <c r="B22" s="16"/>
      <c r="C22" s="15"/>
      <c r="D22" s="15"/>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row r="51" spans="1:5" hidden="1" x14ac:dyDescent="0.25">
      <c r="A51" s="39"/>
      <c r="B51" s="39"/>
      <c r="C51" s="39"/>
      <c r="D51" s="39"/>
      <c r="E51" s="39"/>
    </row>
    <row r="52" spans="1:5" hidden="1" x14ac:dyDescent="0.25">
      <c r="A52" s="39"/>
      <c r="B52" s="39"/>
      <c r="C52" s="39"/>
      <c r="D52" s="39"/>
      <c r="E52" s="39"/>
    </row>
    <row r="53" spans="1:5" hidden="1" x14ac:dyDescent="0.25">
      <c r="A53" s="39"/>
      <c r="B53" s="39"/>
      <c r="C53" s="39"/>
      <c r="D53" s="39"/>
      <c r="E53" s="39"/>
    </row>
    <row r="54" spans="1:5" hidden="1" x14ac:dyDescent="0.25">
      <c r="A54" s="39"/>
      <c r="B54" s="39"/>
      <c r="C54" s="39"/>
      <c r="D54" s="39"/>
      <c r="E54" s="39"/>
    </row>
    <row r="55" spans="1:5" hidden="1" x14ac:dyDescent="0.25">
      <c r="A55" s="39"/>
      <c r="B55" s="39"/>
      <c r="C55" s="39"/>
      <c r="D55" s="39"/>
      <c r="E55" s="39"/>
    </row>
    <row r="56" spans="1:5" hidden="1" x14ac:dyDescent="0.25">
      <c r="A56" s="39"/>
      <c r="B56" s="39"/>
      <c r="C56" s="39"/>
      <c r="D56" s="39"/>
      <c r="E56" s="39"/>
    </row>
  </sheetData>
  <sheetProtection algorithmName="SHA-512" hashValue="FoG6AEKHXso6VezByNOhHAJHxy19Isytxxyv3haniwaWsTNdRKbBas9XEoJ5vsfv4UFEwI/WcbCJcBFP/ZNfVg==" saltValue="u9fdtAwUNjIbltUx8nSfOQ=="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E51"/>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1.710937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5" t="s">
        <v>171</v>
      </c>
      <c r="C3" s="95"/>
      <c r="D3" s="95"/>
      <c r="E3" s="1"/>
    </row>
    <row r="4" spans="1:5" ht="15" customHeight="1" x14ac:dyDescent="0.25">
      <c r="A4" s="1"/>
      <c r="B4" s="95"/>
      <c r="C4" s="95"/>
      <c r="D4" s="95"/>
      <c r="E4" s="1"/>
    </row>
    <row r="5" spans="1:5" ht="15" customHeight="1" x14ac:dyDescent="0.25">
      <c r="A5" s="1"/>
      <c r="B5" s="95"/>
      <c r="C5" s="95"/>
      <c r="D5" s="95"/>
      <c r="E5" s="1"/>
    </row>
    <row r="6" spans="1:5" ht="15" customHeight="1" x14ac:dyDescent="0.25">
      <c r="A6" s="1"/>
      <c r="B6" s="67"/>
      <c r="C6" s="67"/>
      <c r="D6" s="67"/>
      <c r="E6" s="1"/>
    </row>
    <row r="7" spans="1:5" x14ac:dyDescent="0.25">
      <c r="A7" s="1"/>
      <c r="B7" s="1"/>
      <c r="C7" s="1"/>
      <c r="D7" s="1"/>
      <c r="E7" s="1"/>
    </row>
    <row r="8" spans="1:5" x14ac:dyDescent="0.25">
      <c r="A8" s="1"/>
      <c r="B8" s="97" t="s">
        <v>174</v>
      </c>
      <c r="C8" s="98"/>
      <c r="D8" s="99"/>
      <c r="E8" s="1"/>
    </row>
    <row r="9" spans="1:5" x14ac:dyDescent="0.25">
      <c r="A9" s="1"/>
      <c r="B9" s="54" t="s">
        <v>175</v>
      </c>
      <c r="C9" s="9">
        <v>713812.89943175018</v>
      </c>
      <c r="D9" s="38" t="s">
        <v>3</v>
      </c>
      <c r="E9" s="1"/>
    </row>
    <row r="10" spans="1:5" x14ac:dyDescent="0.25">
      <c r="A10" s="1"/>
      <c r="B10" s="54" t="s">
        <v>173</v>
      </c>
      <c r="C10" s="9">
        <v>80734.039795316756</v>
      </c>
      <c r="D10" s="14" t="s">
        <v>3</v>
      </c>
      <c r="E10" s="1"/>
    </row>
    <row r="11" spans="1:5" x14ac:dyDescent="0.25">
      <c r="A11" s="1"/>
      <c r="B11" s="50"/>
      <c r="C11" s="51"/>
      <c r="D11" s="19"/>
      <c r="E11" s="1"/>
    </row>
    <row r="12" spans="1:5" ht="53.85" customHeight="1" x14ac:dyDescent="0.25">
      <c r="A12" s="1"/>
      <c r="B12" s="106" t="s">
        <v>172</v>
      </c>
      <c r="C12" s="107"/>
      <c r="D12" s="108"/>
      <c r="E12" s="1"/>
    </row>
    <row r="13" spans="1:5" x14ac:dyDescent="0.25">
      <c r="A13" s="1"/>
      <c r="B13" s="1"/>
      <c r="C13" s="1"/>
      <c r="D13" s="1"/>
      <c r="E13" s="1"/>
    </row>
    <row r="14" spans="1:5" x14ac:dyDescent="0.25">
      <c r="A14" s="1"/>
      <c r="B14" s="68" t="s">
        <v>176</v>
      </c>
      <c r="C14" s="69"/>
      <c r="D14" s="70"/>
      <c r="E14" s="1"/>
    </row>
    <row r="15" spans="1:5" x14ac:dyDescent="0.25">
      <c r="A15" s="1"/>
      <c r="B15" s="54" t="s">
        <v>177</v>
      </c>
      <c r="C15" s="9">
        <f>IF(C10&lt;0,C10,0)</f>
        <v>0</v>
      </c>
      <c r="D15" s="14" t="s">
        <v>3</v>
      </c>
      <c r="E15" s="1"/>
    </row>
    <row r="16" spans="1:5" x14ac:dyDescent="0.25">
      <c r="A16" s="1"/>
      <c r="B16" s="54" t="s">
        <v>184</v>
      </c>
      <c r="C16" s="9">
        <f>IF(SUM(C9)&gt;0,SUM(C9),0)</f>
        <v>713812.89943175018</v>
      </c>
      <c r="D16" s="14" t="s">
        <v>3</v>
      </c>
      <c r="E16" s="1"/>
    </row>
    <row r="17" spans="1:5" ht="26.25" x14ac:dyDescent="0.25">
      <c r="A17" s="1"/>
      <c r="B17" s="71" t="s">
        <v>178</v>
      </c>
      <c r="C17" s="60">
        <f>IF(SUM(C15:C16)&gt;0,0,SUM(C15:C16))</f>
        <v>0</v>
      </c>
      <c r="D17" s="17" t="s">
        <v>3</v>
      </c>
      <c r="E17" s="1"/>
    </row>
    <row r="18" spans="1:5" x14ac:dyDescent="0.25">
      <c r="A18" s="1"/>
      <c r="B18" s="50"/>
      <c r="C18" s="51"/>
      <c r="D18" s="19"/>
      <c r="E18" s="1"/>
    </row>
    <row r="19" spans="1:5" x14ac:dyDescent="0.25">
      <c r="A19" s="1"/>
      <c r="B19" s="1"/>
      <c r="C19" s="1"/>
      <c r="D19" s="1"/>
      <c r="E19" s="1"/>
    </row>
    <row r="20" spans="1:5" x14ac:dyDescent="0.25">
      <c r="A20" s="1"/>
      <c r="B20" s="68" t="s">
        <v>179</v>
      </c>
      <c r="C20" s="69"/>
      <c r="D20" s="70"/>
      <c r="E20" s="1"/>
    </row>
    <row r="21" spans="1:5" x14ac:dyDescent="0.25">
      <c r="A21" s="1"/>
      <c r="B21" s="54" t="s">
        <v>180</v>
      </c>
      <c r="C21" s="9">
        <v>49730990.168040238</v>
      </c>
      <c r="D21" s="14" t="s">
        <v>3</v>
      </c>
      <c r="E21" s="1"/>
    </row>
    <row r="22" spans="1:5" x14ac:dyDescent="0.25">
      <c r="A22" s="1"/>
      <c r="B22" s="54" t="s">
        <v>181</v>
      </c>
      <c r="C22" s="9">
        <v>46019909</v>
      </c>
      <c r="D22" s="14" t="s">
        <v>3</v>
      </c>
      <c r="E22" s="1"/>
    </row>
    <row r="23" spans="1:5" x14ac:dyDescent="0.25">
      <c r="A23" s="1"/>
      <c r="B23" s="54" t="s">
        <v>28</v>
      </c>
      <c r="C23" s="9">
        <v>0</v>
      </c>
      <c r="D23" s="14" t="s">
        <v>3</v>
      </c>
      <c r="E23" s="1"/>
    </row>
    <row r="24" spans="1:5" x14ac:dyDescent="0.25">
      <c r="A24" s="1"/>
      <c r="B24" s="73" t="s">
        <v>182</v>
      </c>
      <c r="C24" s="45">
        <f>C21-C22-C23</f>
        <v>3711081.1680402383</v>
      </c>
      <c r="D24" s="17" t="s">
        <v>3</v>
      </c>
      <c r="E24" s="1"/>
    </row>
    <row r="25" spans="1:5" x14ac:dyDescent="0.25">
      <c r="A25" s="1"/>
      <c r="B25" s="50"/>
      <c r="C25" s="51"/>
      <c r="D25" s="19"/>
      <c r="E25" s="1"/>
    </row>
    <row r="26" spans="1:5" x14ac:dyDescent="0.25">
      <c r="A26" s="1"/>
      <c r="B26" s="1"/>
      <c r="C26" s="1"/>
      <c r="D26" s="1"/>
      <c r="E26" s="1"/>
    </row>
    <row r="27" spans="1:5" x14ac:dyDescent="0.25">
      <c r="A27" s="1"/>
      <c r="B27" s="97" t="s">
        <v>183</v>
      </c>
      <c r="C27" s="98"/>
      <c r="D27" s="99"/>
      <c r="E27" s="1"/>
    </row>
    <row r="28" spans="1:5" x14ac:dyDescent="0.25">
      <c r="A28" s="1"/>
      <c r="B28" s="55" t="s">
        <v>65</v>
      </c>
      <c r="C28" s="9">
        <f>IF(C17&lt;0,IF(C24&lt;0,SUM(C17,C24),IF(C9&gt;0,SUM(C9:C10),C17)),IF(AND(C24&lt;0,SUM(C24,C10)&lt;0),IF(C10&lt;0,C24,IF(SUM(C9:C10)&gt;0,SUM(C24,C10),IF(AND(C24&lt;0,C17=0,C10&gt;0),IF(SUM(C9:C10)&gt;0,C24+C10,C24)))),IF(AND(SUM(C9:C10)&lt;0,C17=0,C24&lt;0),C24,0)))</f>
        <v>0</v>
      </c>
      <c r="D28" s="14" t="s">
        <v>3</v>
      </c>
      <c r="E28" s="1"/>
    </row>
    <row r="29" spans="1:5" x14ac:dyDescent="0.25">
      <c r="A29" s="1"/>
      <c r="B29" s="55" t="s">
        <v>48</v>
      </c>
      <c r="C29" s="9">
        <v>2</v>
      </c>
      <c r="D29" s="14" t="s">
        <v>18</v>
      </c>
      <c r="E29" s="1"/>
    </row>
    <row r="30" spans="1:5" x14ac:dyDescent="0.25">
      <c r="A30" s="1"/>
      <c r="B30" s="56" t="s">
        <v>64</v>
      </c>
      <c r="C30" s="10">
        <f>C28/C29</f>
        <v>0</v>
      </c>
      <c r="D30" s="17" t="s">
        <v>3</v>
      </c>
      <c r="E30" s="1"/>
    </row>
    <row r="31" spans="1:5" x14ac:dyDescent="0.25">
      <c r="A31" s="1"/>
      <c r="B31" s="109"/>
      <c r="C31" s="110"/>
      <c r="D31" s="11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hidden="1" x14ac:dyDescent="0.25">
      <c r="A48" s="39"/>
      <c r="B48" s="39"/>
      <c r="C48" s="39"/>
      <c r="D48" s="39"/>
      <c r="E48" s="39"/>
    </row>
    <row r="49" spans="1:5" hidden="1" x14ac:dyDescent="0.25">
      <c r="A49" s="39"/>
      <c r="B49" s="39"/>
      <c r="C49" s="39"/>
      <c r="D49" s="39"/>
      <c r="E49" s="39"/>
    </row>
    <row r="50" spans="1:5" hidden="1" x14ac:dyDescent="0.25">
      <c r="A50" s="39"/>
      <c r="B50" s="39"/>
      <c r="C50" s="39"/>
      <c r="D50" s="39"/>
      <c r="E50" s="39"/>
    </row>
    <row r="51" spans="1:5" hidden="1" x14ac:dyDescent="0.25">
      <c r="A51" s="39"/>
      <c r="E51" s="39"/>
    </row>
  </sheetData>
  <sheetProtection algorithmName="SHA-512" hashValue="iYhlf8iQ/9pWdmo/sepmZXYH04k0PJ2+ySNQPhgWFQ8cKRECLOVYAjGtyqWpnpZD/UUV0zcvjkJxB0hpsj4rxA==" saltValue="Ud4fBKZGu8lIigQxYDOAOg==" spinCount="100000" sheet="1" objects="1" scenarios="1"/>
  <mergeCells count="5">
    <mergeCell ref="B12:D12"/>
    <mergeCell ref="B8:D8"/>
    <mergeCell ref="B3:D5"/>
    <mergeCell ref="B31:D31"/>
    <mergeCell ref="B27:D27"/>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E50"/>
  <sheetViews>
    <sheetView zoomScaleNormal="100" workbookViewId="0"/>
  </sheetViews>
  <sheetFormatPr defaultColWidth="0" defaultRowHeight="15" zeroHeight="1" x14ac:dyDescent="0.25"/>
  <cols>
    <col min="1" max="1" width="5.28515625" style="29" customWidth="1"/>
    <col min="2" max="2" width="57.140625" style="29" customWidth="1"/>
    <col min="3" max="3" width="12.5703125" style="29" customWidth="1"/>
    <col min="4" max="4" width="3.140625" style="29" customWidth="1"/>
    <col min="5" max="5" width="5.28515625" style="29" customWidth="1"/>
    <col min="6" max="16384" width="9.140625" style="29" hidden="1"/>
  </cols>
  <sheetData>
    <row r="1" spans="1:5" x14ac:dyDescent="0.25">
      <c r="A1" s="1"/>
      <c r="B1" s="1"/>
      <c r="C1" s="1"/>
      <c r="D1" s="1"/>
      <c r="E1" s="1"/>
    </row>
    <row r="2" spans="1:5" x14ac:dyDescent="0.25">
      <c r="A2" s="1"/>
      <c r="B2" s="1"/>
      <c r="C2" s="1"/>
      <c r="D2" s="1"/>
      <c r="E2" s="1"/>
    </row>
    <row r="3" spans="1:5" ht="15" customHeight="1" x14ac:dyDescent="0.25">
      <c r="A3" s="1"/>
      <c r="B3" s="95" t="s">
        <v>96</v>
      </c>
      <c r="C3" s="95"/>
      <c r="D3" s="95"/>
      <c r="E3" s="1"/>
    </row>
    <row r="4" spans="1:5" ht="15" customHeight="1" x14ac:dyDescent="0.25">
      <c r="A4" s="1"/>
      <c r="B4" s="95"/>
      <c r="C4" s="95"/>
      <c r="D4" s="95"/>
      <c r="E4" s="1"/>
    </row>
    <row r="5" spans="1:5" x14ac:dyDescent="0.25">
      <c r="A5" s="1"/>
      <c r="B5" s="95"/>
      <c r="C5" s="95"/>
      <c r="D5" s="95"/>
      <c r="E5" s="1"/>
    </row>
    <row r="6" spans="1:5" x14ac:dyDescent="0.25">
      <c r="A6" s="1"/>
      <c r="B6" s="1"/>
      <c r="C6" s="1"/>
      <c r="D6" s="1"/>
      <c r="E6" s="1"/>
    </row>
    <row r="7" spans="1:5" x14ac:dyDescent="0.25">
      <c r="A7" s="1"/>
      <c r="B7" s="1"/>
      <c r="C7" s="1"/>
      <c r="D7" s="1"/>
      <c r="E7" s="1"/>
    </row>
    <row r="8" spans="1:5" x14ac:dyDescent="0.25">
      <c r="A8" s="1"/>
      <c r="B8" s="97" t="s">
        <v>97</v>
      </c>
      <c r="C8" s="98"/>
      <c r="D8" s="99"/>
      <c r="E8" s="1"/>
    </row>
    <row r="9" spans="1:5" ht="15" customHeight="1" x14ac:dyDescent="0.25">
      <c r="A9" s="1"/>
      <c r="B9" s="112" t="s">
        <v>122</v>
      </c>
      <c r="C9" s="113"/>
      <c r="D9" s="114"/>
      <c r="E9" s="1"/>
    </row>
    <row r="10" spans="1:5" x14ac:dyDescent="0.25">
      <c r="A10" s="1"/>
      <c r="B10" s="57" t="s">
        <v>98</v>
      </c>
      <c r="C10" s="40"/>
      <c r="D10" s="9" t="s">
        <v>3</v>
      </c>
      <c r="E10" s="1"/>
    </row>
    <row r="11" spans="1:5" x14ac:dyDescent="0.25">
      <c r="A11" s="1"/>
      <c r="B11" s="57" t="s">
        <v>99</v>
      </c>
      <c r="C11" s="40"/>
      <c r="D11" s="9" t="s">
        <v>3</v>
      </c>
      <c r="E11" s="1"/>
    </row>
    <row r="12" spans="1:5" x14ac:dyDescent="0.25">
      <c r="A12" s="1"/>
      <c r="B12" s="57" t="s">
        <v>100</v>
      </c>
      <c r="C12" s="9"/>
      <c r="D12" s="9" t="s">
        <v>3</v>
      </c>
      <c r="E12" s="1"/>
    </row>
    <row r="13" spans="1:5" x14ac:dyDescent="0.25">
      <c r="A13" s="1"/>
      <c r="B13" s="57" t="s">
        <v>101</v>
      </c>
      <c r="C13" s="9"/>
      <c r="D13" s="9" t="s">
        <v>3</v>
      </c>
      <c r="E13" s="1"/>
    </row>
    <row r="14" spans="1:5" x14ac:dyDescent="0.25">
      <c r="A14" s="1"/>
      <c r="B14" s="57" t="s">
        <v>102</v>
      </c>
      <c r="C14" s="9"/>
      <c r="D14" s="9" t="s">
        <v>3</v>
      </c>
      <c r="E14" s="1"/>
    </row>
    <row r="15" spans="1:5" x14ac:dyDescent="0.25">
      <c r="A15" s="1"/>
      <c r="B15" s="57" t="s">
        <v>103</v>
      </c>
      <c r="C15" s="9"/>
      <c r="D15" s="9" t="s">
        <v>3</v>
      </c>
      <c r="E15" s="1"/>
    </row>
    <row r="16" spans="1:5" x14ac:dyDescent="0.25">
      <c r="A16" s="1"/>
      <c r="B16" s="57" t="s">
        <v>104</v>
      </c>
      <c r="C16" s="9"/>
      <c r="D16" s="9" t="s">
        <v>3</v>
      </c>
      <c r="E16" s="1"/>
    </row>
    <row r="17" spans="1:5" x14ac:dyDescent="0.25">
      <c r="A17" s="1"/>
      <c r="B17" s="57" t="s">
        <v>105</v>
      </c>
      <c r="C17" s="9"/>
      <c r="D17" s="9" t="s">
        <v>3</v>
      </c>
      <c r="E17" s="1"/>
    </row>
    <row r="18" spans="1:5" x14ac:dyDescent="0.25">
      <c r="A18" s="1"/>
      <c r="B18" s="68" t="s">
        <v>106</v>
      </c>
      <c r="C18" s="12">
        <f>SUM(C10:C17)</f>
        <v>0</v>
      </c>
      <c r="D18" s="13"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8jXDa5csAm6iGo3T/7xwRgSA0PDxsMIPvje0+1Dll7uYTRE3Mz3kgjRCIQcJRVKJ+NxmBcZbrxmhQj/cXISgSA==" saltValue="DO0eawAgWN28NAqLw3/l9A==" spinCount="100000" sheet="1" objects="1" scenarios="1"/>
  <mergeCells count="3">
    <mergeCell ref="B8:D8"/>
    <mergeCell ref="B9:D9"/>
    <mergeCell ref="B3:D5"/>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7109375" style="2" customWidth="1"/>
    <col min="3" max="3" width="7.7109375" style="2" customWidth="1"/>
    <col min="4" max="4" width="9.7109375" style="2" customWidth="1"/>
    <col min="5" max="5" width="3.28515625" style="2" customWidth="1"/>
    <col min="6" max="6" width="9.7109375" style="2" customWidth="1"/>
    <col min="7" max="7" width="3.28515625" style="2" customWidth="1"/>
    <col min="8" max="8" width="9.7109375" style="2" customWidth="1"/>
    <col min="9" max="9" width="3.28515625" style="2" customWidth="1"/>
    <col min="10" max="10" width="9.7109375" style="2" customWidth="1"/>
    <col min="11" max="11" width="3.285156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3" t="s">
        <v>90</v>
      </c>
      <c r="C3" s="93"/>
      <c r="D3" s="93"/>
      <c r="E3" s="93"/>
      <c r="F3" s="93"/>
      <c r="G3" s="93"/>
      <c r="H3" s="93"/>
      <c r="I3" s="93"/>
      <c r="J3" s="93"/>
      <c r="K3" s="93"/>
      <c r="L3" s="1"/>
    </row>
    <row r="4" spans="1:12" ht="15" customHeight="1" x14ac:dyDescent="0.25">
      <c r="A4" s="1"/>
      <c r="B4" s="93"/>
      <c r="C4" s="93"/>
      <c r="D4" s="93"/>
      <c r="E4" s="93"/>
      <c r="F4" s="93"/>
      <c r="G4" s="93"/>
      <c r="H4" s="93"/>
      <c r="I4" s="93"/>
      <c r="J4" s="93"/>
      <c r="K4" s="93"/>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97" t="s">
        <v>74</v>
      </c>
      <c r="C8" s="98"/>
      <c r="D8" s="98"/>
      <c r="E8" s="98"/>
      <c r="F8" s="98"/>
      <c r="G8" s="98"/>
      <c r="H8" s="98"/>
      <c r="I8" s="98"/>
      <c r="J8" s="98"/>
      <c r="K8" s="99"/>
      <c r="L8" s="1"/>
    </row>
    <row r="9" spans="1:12" ht="39.75" customHeight="1" x14ac:dyDescent="0.25">
      <c r="A9" s="1"/>
      <c r="B9" s="18" t="s">
        <v>0</v>
      </c>
      <c r="C9" s="18" t="s">
        <v>1</v>
      </c>
      <c r="D9" s="115" t="s">
        <v>83</v>
      </c>
      <c r="E9" s="116"/>
      <c r="F9" s="115" t="s">
        <v>2</v>
      </c>
      <c r="G9" s="116"/>
      <c r="H9" s="115" t="s">
        <v>84</v>
      </c>
      <c r="I9" s="116"/>
      <c r="J9" s="115" t="s">
        <v>25</v>
      </c>
      <c r="K9" s="116"/>
      <c r="L9" s="1"/>
    </row>
    <row r="10" spans="1:12" x14ac:dyDescent="0.25">
      <c r="A10" s="1"/>
      <c r="B10" s="57" t="s">
        <v>189</v>
      </c>
      <c r="C10" s="47">
        <v>0</v>
      </c>
      <c r="D10" s="9">
        <v>0</v>
      </c>
      <c r="E10" s="14" t="s">
        <v>3</v>
      </c>
      <c r="F10" s="59">
        <f>IFERROR(D10/C10,0)</f>
        <v>0</v>
      </c>
      <c r="G10" s="14" t="s">
        <v>3</v>
      </c>
      <c r="H10" s="9">
        <v>0</v>
      </c>
      <c r="I10" s="14" t="s">
        <v>3</v>
      </c>
      <c r="J10" s="9">
        <v>0</v>
      </c>
      <c r="K10" s="14" t="s">
        <v>3</v>
      </c>
      <c r="L10" s="1"/>
    </row>
    <row r="11" spans="1:12" x14ac:dyDescent="0.25">
      <c r="A11" s="1"/>
      <c r="B11" s="50" t="s">
        <v>145</v>
      </c>
      <c r="C11" s="51"/>
      <c r="D11" s="19"/>
      <c r="E11" s="70"/>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hidden="1" x14ac:dyDescent="0.25">
      <c r="A43" s="39"/>
      <c r="B43" s="39"/>
      <c r="C43" s="39"/>
      <c r="D43" s="39"/>
      <c r="E43" s="39"/>
      <c r="F43" s="39"/>
      <c r="G43" s="39"/>
      <c r="H43" s="39"/>
      <c r="I43" s="39"/>
      <c r="J43" s="39"/>
      <c r="K43" s="39"/>
      <c r="L43" s="39"/>
    </row>
    <row r="44" spans="1:12" hidden="1" x14ac:dyDescent="0.25">
      <c r="A44" s="39"/>
      <c r="B44" s="39"/>
      <c r="C44" s="39"/>
      <c r="D44" s="39"/>
      <c r="E44" s="39"/>
      <c r="F44" s="39"/>
      <c r="G44" s="39"/>
      <c r="H44" s="39"/>
      <c r="I44" s="39"/>
      <c r="J44" s="39"/>
      <c r="K44" s="39"/>
      <c r="L44" s="39"/>
    </row>
    <row r="45" spans="1:12" hidden="1" x14ac:dyDescent="0.25">
      <c r="A45" s="39"/>
      <c r="B45" s="39"/>
      <c r="C45" s="39"/>
      <c r="D45" s="39"/>
      <c r="E45" s="39"/>
      <c r="F45" s="39"/>
      <c r="G45" s="39"/>
      <c r="H45" s="39"/>
      <c r="I45" s="39"/>
      <c r="J45" s="39"/>
      <c r="K45" s="39"/>
      <c r="L45" s="39"/>
    </row>
    <row r="46" spans="1:12" hidden="1" x14ac:dyDescent="0.25">
      <c r="A46" s="39"/>
      <c r="B46" s="39"/>
      <c r="C46" s="39"/>
      <c r="D46" s="39"/>
      <c r="E46" s="39"/>
      <c r="F46" s="39"/>
      <c r="G46" s="39"/>
      <c r="H46" s="39"/>
      <c r="I46" s="39"/>
      <c r="J46" s="39"/>
      <c r="K46" s="39"/>
      <c r="L46" s="39"/>
    </row>
    <row r="47" spans="1:12" hidden="1" x14ac:dyDescent="0.25"/>
    <row r="48" spans="1:12" hidden="1" x14ac:dyDescent="0.25"/>
    <row r="49" hidden="1" x14ac:dyDescent="0.25"/>
    <row r="50" hidden="1" x14ac:dyDescent="0.25"/>
    <row r="51" hidden="1" x14ac:dyDescent="0.25"/>
    <row r="52" hidden="1" x14ac:dyDescent="0.25"/>
  </sheetData>
  <sheetProtection algorithmName="SHA-512" hashValue="xuodoc91s+EVfCUbdJ5JkqnDxK8q58DKS14XZ6vSeE8fKG48uuEheIJqLUswp/6M4fezMcYJTyFkJoV9GHguAA==" saltValue="ZySNBafNaYuW9pHzukVLrA=="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64"/>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140625" style="2" customWidth="1"/>
    <col min="5" max="5" width="13.570312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3" t="s">
        <v>91</v>
      </c>
      <c r="C3" s="93"/>
      <c r="D3" s="93"/>
      <c r="E3" s="93"/>
      <c r="F3" s="93"/>
      <c r="G3" s="1"/>
    </row>
    <row r="4" spans="1:7" ht="15" customHeight="1" x14ac:dyDescent="0.25">
      <c r="A4" s="1"/>
      <c r="B4" s="93"/>
      <c r="C4" s="93"/>
      <c r="D4" s="93"/>
      <c r="E4" s="93"/>
      <c r="F4" s="9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0" t="s">
        <v>34</v>
      </c>
      <c r="C8" s="51"/>
      <c r="D8" s="51"/>
      <c r="E8" s="51"/>
      <c r="F8" s="19"/>
      <c r="G8" s="1"/>
    </row>
    <row r="9" spans="1:7" ht="17.25" customHeight="1" x14ac:dyDescent="0.25">
      <c r="A9" s="1"/>
      <c r="B9" s="71" t="s">
        <v>15</v>
      </c>
      <c r="C9" s="73" t="s">
        <v>10</v>
      </c>
      <c r="D9" s="72"/>
      <c r="E9" s="73" t="s">
        <v>26</v>
      </c>
      <c r="F9" s="26"/>
      <c r="G9" s="1"/>
    </row>
    <row r="10" spans="1:7" x14ac:dyDescent="0.25">
      <c r="A10" s="1"/>
      <c r="B10" s="65" t="s">
        <v>77</v>
      </c>
      <c r="C10" s="21">
        <f>'Fane 9. Anlægsprojekter (§ 19) '!H11</f>
        <v>0</v>
      </c>
      <c r="D10" s="14" t="s">
        <v>3</v>
      </c>
      <c r="E10" s="9">
        <f>'Fane 9. Anlægsprojekter (§ 19) '!F11+'Fane 9. Anlægsprojekter (§ 19) '!J11</f>
        <v>0</v>
      </c>
      <c r="F10" s="14" t="s">
        <v>3</v>
      </c>
      <c r="G10" s="1"/>
    </row>
    <row r="11" spans="1:7" x14ac:dyDescent="0.25">
      <c r="A11" s="1"/>
      <c r="B11" s="119" t="s">
        <v>198</v>
      </c>
      <c r="C11" s="21">
        <v>0</v>
      </c>
      <c r="D11" s="14" t="s">
        <v>3</v>
      </c>
      <c r="E11" s="9">
        <v>35338</v>
      </c>
      <c r="F11" s="14" t="s">
        <v>3</v>
      </c>
      <c r="G11" s="1"/>
    </row>
    <row r="12" spans="1:7" x14ac:dyDescent="0.25">
      <c r="A12" s="1"/>
      <c r="B12" s="119" t="s">
        <v>199</v>
      </c>
      <c r="C12" s="21">
        <v>0</v>
      </c>
      <c r="D12" s="14" t="s">
        <v>3</v>
      </c>
      <c r="E12" s="9">
        <v>9066</v>
      </c>
      <c r="F12" s="14" t="s">
        <v>3</v>
      </c>
      <c r="G12" s="1"/>
    </row>
    <row r="13" spans="1:7" x14ac:dyDescent="0.25">
      <c r="A13" s="1"/>
      <c r="B13" s="65" t="s">
        <v>200</v>
      </c>
      <c r="C13" s="21">
        <v>0</v>
      </c>
      <c r="D13" s="14" t="s">
        <v>3</v>
      </c>
      <c r="E13" s="9">
        <v>30286</v>
      </c>
      <c r="F13" s="14" t="s">
        <v>3</v>
      </c>
      <c r="G13" s="1"/>
    </row>
    <row r="14" spans="1:7" ht="26.25" x14ac:dyDescent="0.25">
      <c r="A14" s="1"/>
      <c r="B14" s="58" t="s">
        <v>202</v>
      </c>
      <c r="C14" s="21">
        <v>0</v>
      </c>
      <c r="D14" s="14" t="s">
        <v>3</v>
      </c>
      <c r="E14" s="9">
        <v>34055</v>
      </c>
      <c r="F14" s="14" t="s">
        <v>3</v>
      </c>
      <c r="G14" s="1"/>
    </row>
    <row r="15" spans="1:7" ht="26.25" x14ac:dyDescent="0.25">
      <c r="A15" s="1"/>
      <c r="B15" s="58" t="s">
        <v>202</v>
      </c>
      <c r="C15" s="21">
        <v>0</v>
      </c>
      <c r="D15" s="14" t="s">
        <v>3</v>
      </c>
      <c r="E15" s="9">
        <v>53880</v>
      </c>
      <c r="F15" s="14" t="s">
        <v>3</v>
      </c>
      <c r="G15" s="1"/>
    </row>
    <row r="16" spans="1:7" ht="26.25" x14ac:dyDescent="0.25">
      <c r="A16" s="1"/>
      <c r="B16" s="58" t="s">
        <v>203</v>
      </c>
      <c r="C16" s="21">
        <v>0</v>
      </c>
      <c r="D16" s="14" t="s">
        <v>3</v>
      </c>
      <c r="E16" s="9">
        <v>9257</v>
      </c>
      <c r="F16" s="14" t="s">
        <v>3</v>
      </c>
      <c r="G16" s="1"/>
    </row>
    <row r="17" spans="1:7" ht="26.25" x14ac:dyDescent="0.25">
      <c r="A17" s="1"/>
      <c r="B17" s="58" t="s">
        <v>204</v>
      </c>
      <c r="C17" s="21">
        <v>0</v>
      </c>
      <c r="D17" s="14" t="s">
        <v>3</v>
      </c>
      <c r="E17" s="9">
        <v>13942</v>
      </c>
      <c r="F17" s="14" t="s">
        <v>3</v>
      </c>
      <c r="G17" s="1"/>
    </row>
    <row r="18" spans="1:7" x14ac:dyDescent="0.25">
      <c r="A18" s="1"/>
      <c r="B18" s="25" t="s">
        <v>197</v>
      </c>
      <c r="C18" s="21">
        <v>15831.45</v>
      </c>
      <c r="D18" s="14" t="s">
        <v>3</v>
      </c>
      <c r="E18" s="9">
        <v>39349.22</v>
      </c>
      <c r="F18" s="14" t="s">
        <v>3</v>
      </c>
      <c r="G18" s="1"/>
    </row>
    <row r="19" spans="1:7" ht="25.5" x14ac:dyDescent="0.25">
      <c r="A19" s="1"/>
      <c r="B19" s="120" t="s">
        <v>209</v>
      </c>
      <c r="C19" s="21">
        <v>3345</v>
      </c>
      <c r="D19" s="14" t="s">
        <v>3</v>
      </c>
      <c r="E19" s="9">
        <v>0</v>
      </c>
      <c r="F19" s="14" t="s">
        <v>3</v>
      </c>
      <c r="G19" s="1"/>
    </row>
    <row r="20" spans="1:7" ht="26.25" x14ac:dyDescent="0.25">
      <c r="A20" s="1"/>
      <c r="B20" s="121" t="s">
        <v>210</v>
      </c>
      <c r="C20" s="21">
        <v>69272</v>
      </c>
      <c r="D20" s="14" t="s">
        <v>3</v>
      </c>
      <c r="E20" s="9">
        <v>0</v>
      </c>
      <c r="F20" s="14" t="s">
        <v>3</v>
      </c>
      <c r="G20" s="1"/>
    </row>
    <row r="21" spans="1:7" ht="26.25" x14ac:dyDescent="0.25">
      <c r="A21" s="1"/>
      <c r="B21" s="58" t="s">
        <v>211</v>
      </c>
      <c r="C21" s="21">
        <v>12836</v>
      </c>
      <c r="D21" s="14" t="s">
        <v>3</v>
      </c>
      <c r="E21" s="9">
        <v>0</v>
      </c>
      <c r="F21" s="14" t="s">
        <v>3</v>
      </c>
      <c r="G21" s="1"/>
    </row>
    <row r="22" spans="1:7" x14ac:dyDescent="0.25">
      <c r="A22" s="1"/>
      <c r="B22" s="50" t="s">
        <v>112</v>
      </c>
      <c r="C22" s="12">
        <f>SUM(C10:C21)</f>
        <v>101284.45</v>
      </c>
      <c r="D22" s="13" t="s">
        <v>3</v>
      </c>
      <c r="E22" s="12">
        <f>SUM(E10:E21)</f>
        <v>225173.22</v>
      </c>
      <c r="F22" s="13" t="s">
        <v>3</v>
      </c>
      <c r="G22" s="1"/>
    </row>
    <row r="23" spans="1:7" x14ac:dyDescent="0.25">
      <c r="A23" s="1"/>
      <c r="B23" s="50" t="s">
        <v>146</v>
      </c>
      <c r="C23" s="12">
        <f>C22*(1+'Fane 13. Nøgletal'!C11)</f>
        <v>107999.609035</v>
      </c>
      <c r="D23" s="13" t="s">
        <v>3</v>
      </c>
      <c r="E23" s="12">
        <f>E22*(1+'Fane 13. Nøgletal'!C11)</f>
        <v>240102.204486</v>
      </c>
      <c r="F23" s="13" t="s">
        <v>3</v>
      </c>
      <c r="G23" s="1"/>
    </row>
    <row r="24" spans="1:7" x14ac:dyDescent="0.25">
      <c r="A24" s="1"/>
      <c r="B24" s="1"/>
      <c r="C24" s="1" t="s">
        <v>82</v>
      </c>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hidden="1" x14ac:dyDescent="0.25">
      <c r="A51" s="39"/>
      <c r="B51" s="1"/>
      <c r="C51" s="1"/>
      <c r="D51" s="1"/>
      <c r="E51" s="1"/>
      <c r="F51" s="1"/>
      <c r="G51" s="39"/>
    </row>
    <row r="52" spans="1:7" hidden="1" x14ac:dyDescent="0.25">
      <c r="A52" s="39"/>
      <c r="B52" s="1"/>
      <c r="C52" s="1"/>
      <c r="D52" s="1"/>
      <c r="E52" s="1"/>
      <c r="F52" s="1"/>
      <c r="G52" s="39"/>
    </row>
    <row r="53" spans="1:7" hidden="1" x14ac:dyDescent="0.25">
      <c r="A53" s="39"/>
      <c r="B53" s="1"/>
      <c r="C53" s="1"/>
      <c r="D53" s="1"/>
      <c r="E53" s="1"/>
      <c r="F53" s="1"/>
      <c r="G53" s="39"/>
    </row>
    <row r="54" spans="1:7" hidden="1" x14ac:dyDescent="0.25">
      <c r="A54" s="39"/>
      <c r="B54" s="1"/>
      <c r="C54" s="1"/>
      <c r="D54" s="1"/>
      <c r="E54" s="1"/>
      <c r="F54" s="1"/>
      <c r="G54" s="39"/>
    </row>
    <row r="55" spans="1:7" hidden="1" x14ac:dyDescent="0.25">
      <c r="A55" s="39"/>
      <c r="B55" s="1"/>
      <c r="C55" s="1"/>
      <c r="D55" s="1"/>
      <c r="E55" s="1"/>
      <c r="F55" s="1"/>
      <c r="G55" s="39"/>
    </row>
    <row r="56" spans="1:7" hidden="1" x14ac:dyDescent="0.25">
      <c r="A56" s="39"/>
      <c r="B56" s="39"/>
      <c r="C56" s="39"/>
      <c r="D56" s="39"/>
      <c r="E56" s="39"/>
      <c r="F56" s="39"/>
      <c r="G56" s="39"/>
    </row>
    <row r="57" spans="1:7" hidden="1" x14ac:dyDescent="0.25">
      <c r="A57" s="39"/>
      <c r="B57" s="39"/>
      <c r="C57" s="39"/>
      <c r="D57" s="39"/>
      <c r="E57" s="39"/>
      <c r="F57" s="39"/>
      <c r="G57" s="39"/>
    </row>
    <row r="58" spans="1:7" hidden="1" x14ac:dyDescent="0.25">
      <c r="B58" s="39"/>
      <c r="C58" s="39"/>
      <c r="D58" s="39"/>
      <c r="E58" s="39"/>
      <c r="F58" s="39"/>
    </row>
    <row r="59" spans="1:7" hidden="1" x14ac:dyDescent="0.25">
      <c r="B59" s="39"/>
      <c r="C59" s="39"/>
      <c r="D59" s="39"/>
      <c r="E59" s="39"/>
      <c r="F59" s="39"/>
    </row>
    <row r="60" spans="1:7" hidden="1" x14ac:dyDescent="0.25">
      <c r="B60" s="39"/>
      <c r="C60" s="39"/>
      <c r="D60" s="39"/>
      <c r="E60" s="39"/>
      <c r="F60" s="39"/>
    </row>
    <row r="61" spans="1:7" hidden="1" x14ac:dyDescent="0.25">
      <c r="B61" s="39"/>
      <c r="C61" s="39"/>
      <c r="D61" s="39"/>
      <c r="E61" s="39"/>
      <c r="F61" s="39"/>
    </row>
    <row r="62" spans="1:7" hidden="1" x14ac:dyDescent="0.25">
      <c r="B62" s="39"/>
      <c r="C62" s="39"/>
      <c r="D62" s="39"/>
      <c r="E62" s="39"/>
      <c r="F62" s="39"/>
    </row>
    <row r="63" spans="1:7" hidden="1" x14ac:dyDescent="0.25"/>
    <row r="64" spans="1:7" hidden="1" x14ac:dyDescent="0.25"/>
  </sheetData>
  <sheetProtection algorithmName="SHA-512" hashValue="xixGKHbfc13223+diucIoch7sCjnEextcvIFm73+pSHg9Ru6P7OoZybgnzJmFs7pTEKwEHG2MU2WJg02VSkToA==" saltValue="XTANmi/grkoUPJe+/R3NhA=="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61"/>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3" t="s">
        <v>92</v>
      </c>
      <c r="C3" s="93"/>
      <c r="D3" s="93"/>
      <c r="E3" s="93"/>
      <c r="F3" s="93"/>
      <c r="G3" s="1"/>
    </row>
    <row r="4" spans="1:7" ht="15" customHeight="1" x14ac:dyDescent="0.25">
      <c r="A4" s="1"/>
      <c r="B4" s="93"/>
      <c r="C4" s="93"/>
      <c r="D4" s="93"/>
      <c r="E4" s="93"/>
      <c r="F4" s="9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97" t="s">
        <v>149</v>
      </c>
      <c r="C8" s="98"/>
      <c r="D8" s="98"/>
      <c r="E8" s="98"/>
      <c r="F8" s="99"/>
      <c r="G8" s="1"/>
    </row>
    <row r="9" spans="1:7" x14ac:dyDescent="0.25">
      <c r="A9" s="1"/>
      <c r="B9" s="71" t="s">
        <v>15</v>
      </c>
      <c r="C9" s="73" t="s">
        <v>10</v>
      </c>
      <c r="D9" s="74"/>
      <c r="E9" s="73" t="s">
        <v>26</v>
      </c>
      <c r="F9" s="26"/>
      <c r="G9" s="1"/>
    </row>
    <row r="10" spans="1:7" x14ac:dyDescent="0.25">
      <c r="A10" s="1"/>
      <c r="B10" s="122" t="s">
        <v>205</v>
      </c>
      <c r="C10" s="21">
        <v>1015319</v>
      </c>
      <c r="D10" s="14" t="s">
        <v>3</v>
      </c>
      <c r="E10" s="9">
        <v>0</v>
      </c>
      <c r="F10" s="14" t="s">
        <v>3</v>
      </c>
      <c r="G10" s="1"/>
    </row>
    <row r="11" spans="1:7" x14ac:dyDescent="0.25">
      <c r="A11" s="1"/>
      <c r="B11" s="123" t="s">
        <v>206</v>
      </c>
      <c r="C11" s="21">
        <v>106735</v>
      </c>
      <c r="D11" s="14" t="s">
        <v>3</v>
      </c>
      <c r="E11" s="9">
        <v>0</v>
      </c>
      <c r="F11" s="14" t="s">
        <v>201</v>
      </c>
      <c r="G11" s="1"/>
    </row>
    <row r="12" spans="1:7" x14ac:dyDescent="0.25">
      <c r="A12" s="1"/>
      <c r="B12" s="123" t="s">
        <v>207</v>
      </c>
      <c r="C12" s="21">
        <v>44446</v>
      </c>
      <c r="D12" s="14" t="s">
        <v>3</v>
      </c>
      <c r="E12" s="9">
        <v>0</v>
      </c>
      <c r="F12" s="14" t="s">
        <v>3</v>
      </c>
      <c r="G12" s="1"/>
    </row>
    <row r="13" spans="1:7" ht="25.5" x14ac:dyDescent="0.25">
      <c r="A13" s="1"/>
      <c r="B13" s="120" t="s">
        <v>208</v>
      </c>
      <c r="C13" s="21">
        <v>232779</v>
      </c>
      <c r="D13" s="14" t="s">
        <v>3</v>
      </c>
      <c r="E13" s="9">
        <v>0</v>
      </c>
      <c r="F13" s="14" t="s">
        <v>3</v>
      </c>
      <c r="G13" s="1"/>
    </row>
    <row r="14" spans="1:7" ht="25.5" x14ac:dyDescent="0.25">
      <c r="A14" s="1"/>
      <c r="B14" s="120" t="s">
        <v>209</v>
      </c>
      <c r="C14" s="21">
        <v>100342</v>
      </c>
      <c r="D14" s="14" t="s">
        <v>3</v>
      </c>
      <c r="E14" s="9">
        <v>0</v>
      </c>
      <c r="F14" s="14" t="s">
        <v>3</v>
      </c>
      <c r="G14" s="1"/>
    </row>
    <row r="15" spans="1:7" ht="26.25" x14ac:dyDescent="0.25">
      <c r="A15" s="1"/>
      <c r="B15" s="121" t="s">
        <v>210</v>
      </c>
      <c r="C15" s="124">
        <v>277087</v>
      </c>
      <c r="D15" s="14" t="s">
        <v>3</v>
      </c>
      <c r="E15" s="9">
        <v>0</v>
      </c>
      <c r="F15" s="14" t="s">
        <v>3</v>
      </c>
      <c r="G15" s="1"/>
    </row>
    <row r="16" spans="1:7" ht="26.25" x14ac:dyDescent="0.25">
      <c r="A16" s="1"/>
      <c r="B16" s="58" t="s">
        <v>211</v>
      </c>
      <c r="C16" s="21">
        <v>75382</v>
      </c>
      <c r="D16" s="14" t="s">
        <v>3</v>
      </c>
      <c r="E16" s="9">
        <v>0</v>
      </c>
      <c r="F16" s="14" t="s">
        <v>3</v>
      </c>
      <c r="G16" s="1"/>
    </row>
    <row r="17" spans="1:7" x14ac:dyDescent="0.25">
      <c r="A17" s="1"/>
      <c r="B17" s="20" t="s">
        <v>147</v>
      </c>
      <c r="C17" s="12">
        <f>SUM(C10:C16)</f>
        <v>1852090</v>
      </c>
      <c r="D17" s="13" t="s">
        <v>3</v>
      </c>
      <c r="E17" s="12">
        <f>SUM(E10:E16)</f>
        <v>0</v>
      </c>
      <c r="F17" s="13" t="s">
        <v>3</v>
      </c>
      <c r="G17" s="1"/>
    </row>
    <row r="18" spans="1:7" x14ac:dyDescent="0.25">
      <c r="A18" s="1"/>
      <c r="B18" s="50" t="s">
        <v>148</v>
      </c>
      <c r="C18" s="12">
        <f>C17*(1+'Fane 13. Nøgletal'!$C$11)^2</f>
        <v>2105818.3474921002</v>
      </c>
      <c r="D18" s="13" t="s">
        <v>3</v>
      </c>
      <c r="E18" s="12">
        <f>E17*(1+'Fane 13. Nøgletal'!$C$11)^2</f>
        <v>0</v>
      </c>
      <c r="F18" s="13"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ht="18" customHeight="1"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1"/>
      <c r="B51" s="1"/>
      <c r="C51" s="1"/>
      <c r="D51" s="1"/>
      <c r="E51" s="1"/>
      <c r="F51" s="1"/>
      <c r="G51" s="1"/>
    </row>
    <row r="52" spans="1:7" hidden="1" x14ac:dyDescent="0.25">
      <c r="B52" s="1"/>
      <c r="C52" s="1"/>
      <c r="D52" s="1"/>
      <c r="E52" s="1"/>
      <c r="F52" s="1"/>
    </row>
    <row r="53" spans="1:7" hidden="1" x14ac:dyDescent="0.25">
      <c r="B53" s="1"/>
      <c r="C53" s="1"/>
      <c r="D53" s="1"/>
      <c r="E53" s="1"/>
      <c r="F53" s="1"/>
    </row>
    <row r="54" spans="1:7" hidden="1" x14ac:dyDescent="0.25">
      <c r="B54" s="1"/>
      <c r="C54" s="1"/>
      <c r="D54" s="1"/>
      <c r="E54" s="1"/>
      <c r="F54" s="1"/>
    </row>
    <row r="55" spans="1:7" x14ac:dyDescent="0.25"/>
    <row r="56" spans="1:7" x14ac:dyDescent="0.25"/>
    <row r="57" spans="1:7" x14ac:dyDescent="0.25"/>
    <row r="58" spans="1:7" x14ac:dyDescent="0.25"/>
    <row r="59" spans="1:7" x14ac:dyDescent="0.25"/>
    <row r="60" spans="1:7" x14ac:dyDescent="0.25"/>
    <row r="61" spans="1:7" x14ac:dyDescent="0.25"/>
  </sheetData>
  <sheetProtection algorithmName="SHA-512" hashValue="0nw7BmqR7s9yX7V2iVe9GuSZ1VNmG6p1zCEe6ev8J92kbdSCZfg8xKQ7b30laAMdal9wipU2+eenC/pD6oXBVg==" saltValue="avCFe4sraGN9pyWjBDmDMA==" spinCount="100000" sheet="1" objects="1" scenarios="1"/>
  <mergeCells count="2">
    <mergeCell ref="B3:F4"/>
    <mergeCell ref="B8:F8"/>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6"/>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5" t="s">
        <v>93</v>
      </c>
      <c r="C3" s="95"/>
      <c r="D3" s="95"/>
      <c r="E3" s="95"/>
      <c r="F3" s="95"/>
      <c r="G3" s="1"/>
    </row>
    <row r="4" spans="1:7" ht="15" customHeight="1" x14ac:dyDescent="0.25">
      <c r="A4" s="1"/>
      <c r="B4" s="95"/>
      <c r="C4" s="95"/>
      <c r="D4" s="95"/>
      <c r="E4" s="95"/>
      <c r="F4" s="95"/>
      <c r="G4" s="1"/>
    </row>
    <row r="5" spans="1:7" x14ac:dyDescent="0.25">
      <c r="A5" s="1"/>
      <c r="B5" s="95"/>
      <c r="C5" s="95"/>
      <c r="D5" s="95"/>
      <c r="E5" s="95"/>
      <c r="F5" s="95"/>
      <c r="G5" s="1"/>
    </row>
    <row r="6" spans="1:7" x14ac:dyDescent="0.25">
      <c r="A6" s="1"/>
      <c r="B6" s="1"/>
      <c r="C6" s="1"/>
      <c r="D6" s="1"/>
      <c r="E6" s="1"/>
      <c r="F6" s="1"/>
      <c r="G6" s="1"/>
    </row>
    <row r="7" spans="1:7" x14ac:dyDescent="0.25">
      <c r="A7" s="1"/>
      <c r="B7" s="1"/>
      <c r="C7" s="1"/>
      <c r="D7" s="1"/>
      <c r="E7" s="1"/>
      <c r="F7" s="1"/>
      <c r="G7" s="1"/>
    </row>
    <row r="8" spans="1:7" x14ac:dyDescent="0.25">
      <c r="A8" s="1"/>
      <c r="B8" s="97" t="s">
        <v>59</v>
      </c>
      <c r="C8" s="98"/>
      <c r="D8" s="98"/>
      <c r="E8" s="98"/>
      <c r="F8" s="99"/>
      <c r="G8" s="1"/>
    </row>
    <row r="9" spans="1:7" ht="15" customHeight="1" x14ac:dyDescent="0.25">
      <c r="A9" s="1"/>
      <c r="B9" s="52" t="s">
        <v>60</v>
      </c>
      <c r="C9" s="117" t="s">
        <v>10</v>
      </c>
      <c r="D9" s="118"/>
      <c r="E9" s="117" t="s">
        <v>26</v>
      </c>
      <c r="F9" s="118"/>
      <c r="G9" s="1"/>
    </row>
    <row r="10" spans="1:7" ht="26.25" x14ac:dyDescent="0.25">
      <c r="A10" s="1"/>
      <c r="B10" s="58" t="s">
        <v>188</v>
      </c>
      <c r="C10" s="9">
        <v>0</v>
      </c>
      <c r="D10" s="14" t="s">
        <v>3</v>
      </c>
      <c r="E10" s="9">
        <v>0</v>
      </c>
      <c r="F10" s="14" t="s">
        <v>3</v>
      </c>
      <c r="G10" s="1"/>
    </row>
    <row r="11" spans="1:7" ht="28.5" customHeight="1" x14ac:dyDescent="0.25">
      <c r="A11" s="1"/>
      <c r="B11" s="20" t="s">
        <v>115</v>
      </c>
      <c r="C11" s="12">
        <f>SUM(C10:C10)</f>
        <v>0</v>
      </c>
      <c r="D11" s="13" t="s">
        <v>3</v>
      </c>
      <c r="E11" s="12">
        <f>SUM(E10:E10)</f>
        <v>0</v>
      </c>
      <c r="F11" s="13" t="s">
        <v>3</v>
      </c>
      <c r="G11" s="1"/>
    </row>
    <row r="12" spans="1:7" ht="27" customHeight="1" x14ac:dyDescent="0.25">
      <c r="A12" s="1"/>
      <c r="B12" s="20" t="s">
        <v>150</v>
      </c>
      <c r="C12" s="12">
        <f>C11*(1+'Fane 13. Nøgletal'!C11)</f>
        <v>0</v>
      </c>
      <c r="D12" s="13" t="s">
        <v>3</v>
      </c>
      <c r="E12" s="12">
        <f>E11*(1+'Fane 13. Nøgletal'!C11)</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sheetData>
  <sheetProtection algorithmName="SHA-512" hashValue="QyhhTFVPrM4GcwsWcbN27nTfwHm8E4zlc2vUziKeVDWlF7QGEjSd7OVCB0tMxpwePmV/HrxX/RpfqF2sjb+/Fw==" saltValue="htbQeaSbrcYQ521DvBx8TQ==" spinCount="100000" sheet="1" objects="1" scenarios="1"/>
  <mergeCells count="4">
    <mergeCell ref="B8:F8"/>
    <mergeCell ref="C9:D9"/>
    <mergeCell ref="E9:F9"/>
    <mergeCell ref="B3:F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50"/>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5" t="s">
        <v>94</v>
      </c>
      <c r="C3" s="95"/>
      <c r="D3" s="95"/>
      <c r="E3" s="95"/>
      <c r="F3" s="95"/>
      <c r="G3" s="1"/>
    </row>
    <row r="4" spans="1:7" ht="15" customHeight="1" x14ac:dyDescent="0.25">
      <c r="A4" s="1"/>
      <c r="B4" s="95"/>
      <c r="C4" s="95"/>
      <c r="D4" s="95"/>
      <c r="E4" s="95"/>
      <c r="F4" s="95"/>
      <c r="G4" s="1"/>
    </row>
    <row r="5" spans="1:7" x14ac:dyDescent="0.25">
      <c r="A5" s="1"/>
      <c r="B5" s="95"/>
      <c r="C5" s="95"/>
      <c r="D5" s="95"/>
      <c r="E5" s="95"/>
      <c r="F5" s="95"/>
      <c r="G5" s="1"/>
    </row>
    <row r="6" spans="1:7" x14ac:dyDescent="0.25">
      <c r="A6" s="1"/>
      <c r="B6" s="1"/>
      <c r="C6" s="1"/>
      <c r="D6" s="1"/>
      <c r="E6" s="1"/>
      <c r="F6" s="1"/>
      <c r="G6" s="1"/>
    </row>
    <row r="7" spans="1:7" ht="15" customHeight="1" x14ac:dyDescent="0.25">
      <c r="A7" s="1"/>
      <c r="B7" s="1"/>
      <c r="C7" s="1"/>
      <c r="D7" s="1"/>
      <c r="E7" s="1"/>
      <c r="F7" s="1"/>
      <c r="G7" s="1"/>
    </row>
    <row r="8" spans="1:7" x14ac:dyDescent="0.25">
      <c r="A8" s="1"/>
      <c r="B8" s="97" t="s">
        <v>151</v>
      </c>
      <c r="C8" s="98"/>
      <c r="D8" s="98"/>
      <c r="E8" s="98"/>
      <c r="F8" s="99"/>
      <c r="G8" s="1"/>
    </row>
    <row r="9" spans="1:7" x14ac:dyDescent="0.25">
      <c r="A9" s="1"/>
      <c r="B9" s="52" t="s">
        <v>16</v>
      </c>
      <c r="C9" s="49" t="s">
        <v>10</v>
      </c>
      <c r="D9" s="26"/>
      <c r="E9" s="49" t="s">
        <v>26</v>
      </c>
      <c r="F9" s="26"/>
      <c r="G9" s="1"/>
    </row>
    <row r="10" spans="1:7" x14ac:dyDescent="0.25">
      <c r="A10" s="1"/>
      <c r="B10" s="58" t="s">
        <v>212</v>
      </c>
      <c r="C10" s="9">
        <v>61034.250003430105</v>
      </c>
      <c r="D10" s="14" t="s">
        <v>3</v>
      </c>
      <c r="E10" s="9">
        <v>0</v>
      </c>
      <c r="F10" s="14" t="s">
        <v>3</v>
      </c>
      <c r="G10" s="1"/>
    </row>
    <row r="11" spans="1:7" x14ac:dyDescent="0.25">
      <c r="A11" s="1"/>
      <c r="B11" s="50" t="s">
        <v>213</v>
      </c>
      <c r="C11" s="12">
        <f>SUM(C10:C10)</f>
        <v>61034.250003430105</v>
      </c>
      <c r="D11" s="13" t="s">
        <v>3</v>
      </c>
      <c r="E11" s="12">
        <f>SUM(E10:E10)</f>
        <v>0</v>
      </c>
      <c r="F11" s="13" t="s">
        <v>3</v>
      </c>
      <c r="G11" s="1"/>
    </row>
    <row r="12" spans="1:7" x14ac:dyDescent="0.25">
      <c r="A12" s="1"/>
      <c r="B12" s="1"/>
      <c r="C12" s="1"/>
      <c r="D12" s="1"/>
      <c r="E12" s="1"/>
      <c r="F12" s="1"/>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Wh+Lh35Fr9EGfwWFgwVNk+nht3hWdDB+JQR9tydrreU0bzleaXjBd2WpPtHw//bs3BltZw15ZARoBlzs7MytdQ==" saltValue="FPF7+XXm9hNWjKoiRv8rdA==" spinCount="100000" sheet="1" objects="1" scenarios="1"/>
  <mergeCells count="2">
    <mergeCell ref="B8:F8"/>
    <mergeCell ref="B3:F5"/>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0"/>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5703125" style="37" customWidth="1"/>
    <col min="4" max="4" width="5.28515625" style="2" customWidth="1"/>
    <col min="5" max="16384" width="9.140625" style="2" hidden="1"/>
  </cols>
  <sheetData>
    <row r="1" spans="1:4" x14ac:dyDescent="0.25">
      <c r="A1" s="1"/>
      <c r="B1" s="1"/>
      <c r="C1" s="33"/>
      <c r="D1" s="1"/>
    </row>
    <row r="2" spans="1:4" x14ac:dyDescent="0.25">
      <c r="A2" s="1"/>
      <c r="B2" s="1"/>
      <c r="C2" s="33"/>
      <c r="D2" s="1"/>
    </row>
    <row r="3" spans="1:4" ht="15" customHeight="1" x14ac:dyDescent="0.25">
      <c r="A3" s="1"/>
      <c r="B3" s="95" t="s">
        <v>95</v>
      </c>
      <c r="C3" s="95"/>
      <c r="D3" s="1"/>
    </row>
    <row r="4" spans="1:4" ht="15" customHeight="1" x14ac:dyDescent="0.25">
      <c r="A4" s="1"/>
      <c r="B4" s="95"/>
      <c r="C4" s="95"/>
      <c r="D4" s="1"/>
    </row>
    <row r="5" spans="1:4" x14ac:dyDescent="0.25">
      <c r="A5" s="1"/>
      <c r="B5" s="1"/>
      <c r="C5" s="33"/>
      <c r="D5" s="1"/>
    </row>
    <row r="6" spans="1:4" x14ac:dyDescent="0.25">
      <c r="A6" s="1"/>
      <c r="B6" s="1"/>
      <c r="C6" s="33"/>
      <c r="D6" s="1"/>
    </row>
    <row r="7" spans="1:4" x14ac:dyDescent="0.25">
      <c r="A7" s="1"/>
      <c r="B7" s="1"/>
      <c r="C7" s="33"/>
      <c r="D7" s="1"/>
    </row>
    <row r="8" spans="1:4" x14ac:dyDescent="0.25">
      <c r="A8" s="1"/>
      <c r="B8" s="50" t="s">
        <v>13</v>
      </c>
      <c r="C8" s="34"/>
      <c r="D8" s="1"/>
    </row>
    <row r="9" spans="1:4" x14ac:dyDescent="0.25">
      <c r="A9" s="1"/>
      <c r="B9" s="42" t="s">
        <v>186</v>
      </c>
      <c r="C9" s="48">
        <v>3.56E-2</v>
      </c>
      <c r="D9" s="1"/>
    </row>
    <row r="10" spans="1:4" x14ac:dyDescent="0.25">
      <c r="A10" s="1"/>
      <c r="B10" s="42" t="s">
        <v>185</v>
      </c>
      <c r="C10" s="48">
        <v>8.0799999999999997E-2</v>
      </c>
      <c r="D10" s="1"/>
    </row>
    <row r="11" spans="1:4" x14ac:dyDescent="0.25">
      <c r="A11" s="1"/>
      <c r="B11" s="42" t="s">
        <v>191</v>
      </c>
      <c r="C11" s="48">
        <v>6.6299999999999998E-2</v>
      </c>
      <c r="D11" s="1"/>
    </row>
    <row r="12" spans="1:4" x14ac:dyDescent="0.25">
      <c r="A12" s="1"/>
      <c r="B12" s="97"/>
      <c r="C12" s="99"/>
      <c r="D12" s="1"/>
    </row>
    <row r="13" spans="1:4" x14ac:dyDescent="0.25">
      <c r="A13" s="1"/>
      <c r="B13" s="1"/>
      <c r="C13" s="33"/>
      <c r="D13" s="1"/>
    </row>
    <row r="14" spans="1:4" x14ac:dyDescent="0.25">
      <c r="A14" s="1"/>
      <c r="B14" s="1"/>
      <c r="C14" s="33"/>
      <c r="D14" s="1"/>
    </row>
    <row r="15" spans="1:4" x14ac:dyDescent="0.25">
      <c r="A15" s="1"/>
      <c r="B15" s="50" t="s">
        <v>44</v>
      </c>
      <c r="C15" s="34"/>
      <c r="D15" s="1"/>
    </row>
    <row r="16" spans="1:4" x14ac:dyDescent="0.25">
      <c r="A16" s="1"/>
      <c r="B16" s="42" t="s">
        <v>187</v>
      </c>
      <c r="C16" s="36">
        <v>0</v>
      </c>
      <c r="D16" s="1"/>
    </row>
    <row r="17" spans="1:4" x14ac:dyDescent="0.25">
      <c r="A17" s="1"/>
      <c r="B17" s="42" t="s">
        <v>111</v>
      </c>
      <c r="C17" s="36">
        <v>0</v>
      </c>
      <c r="D17" s="1"/>
    </row>
    <row r="18" spans="1:4" x14ac:dyDescent="0.25">
      <c r="A18" s="1"/>
      <c r="B18" s="42" t="s">
        <v>192</v>
      </c>
      <c r="C18" s="62">
        <v>0</v>
      </c>
      <c r="D18" s="1"/>
    </row>
    <row r="19" spans="1:4" x14ac:dyDescent="0.25">
      <c r="A19" s="1"/>
      <c r="B19" s="50"/>
      <c r="C19" s="34"/>
      <c r="D19" s="1"/>
    </row>
    <row r="20" spans="1:4" x14ac:dyDescent="0.25">
      <c r="A20" s="1"/>
      <c r="B20" s="1"/>
      <c r="C20" s="33"/>
      <c r="D20" s="1"/>
    </row>
    <row r="21" spans="1:4" x14ac:dyDescent="0.25">
      <c r="A21" s="1"/>
      <c r="B21" s="1"/>
      <c r="C21" s="33"/>
      <c r="D21" s="1"/>
    </row>
    <row r="22" spans="1:4" x14ac:dyDescent="0.25">
      <c r="A22" s="1"/>
      <c r="B22" s="50" t="s">
        <v>45</v>
      </c>
      <c r="C22" s="34"/>
      <c r="D22" s="1"/>
    </row>
    <row r="23" spans="1:4" x14ac:dyDescent="0.25">
      <c r="A23" s="1"/>
      <c r="B23" s="27" t="s">
        <v>56</v>
      </c>
      <c r="C23" s="35">
        <v>0.02</v>
      </c>
      <c r="D23" s="1"/>
    </row>
    <row r="24" spans="1:4" x14ac:dyDescent="0.25">
      <c r="A24" s="1"/>
      <c r="B24" s="50"/>
      <c r="C24" s="34"/>
      <c r="D24" s="1"/>
    </row>
    <row r="25" spans="1:4" x14ac:dyDescent="0.25">
      <c r="A25" s="1"/>
      <c r="B25" s="1"/>
      <c r="C25" s="33"/>
      <c r="D25" s="1"/>
    </row>
    <row r="26" spans="1:4" x14ac:dyDescent="0.25">
      <c r="A26" s="1"/>
      <c r="B26" s="1"/>
      <c r="C26" s="33"/>
      <c r="D26" s="1"/>
    </row>
    <row r="27" spans="1:4" x14ac:dyDescent="0.25">
      <c r="A27" s="1"/>
      <c r="B27" s="1"/>
      <c r="C27" s="33"/>
      <c r="D27" s="1"/>
    </row>
    <row r="28" spans="1:4" x14ac:dyDescent="0.25">
      <c r="A28" s="1"/>
      <c r="B28" s="1"/>
      <c r="C28" s="33"/>
      <c r="D28" s="1"/>
    </row>
    <row r="29" spans="1:4" x14ac:dyDescent="0.25">
      <c r="A29" s="1"/>
      <c r="B29" s="1"/>
      <c r="C29" s="33"/>
      <c r="D29" s="1"/>
    </row>
    <row r="30" spans="1:4" x14ac:dyDescent="0.25">
      <c r="A30" s="1"/>
      <c r="B30" s="1"/>
      <c r="C30" s="33"/>
      <c r="D30" s="1"/>
    </row>
    <row r="31" spans="1:4" x14ac:dyDescent="0.25">
      <c r="A31" s="1"/>
      <c r="B31" s="1"/>
      <c r="C31" s="33"/>
      <c r="D31" s="1"/>
    </row>
    <row r="32" spans="1:4" x14ac:dyDescent="0.25">
      <c r="A32" s="1"/>
      <c r="B32" s="1"/>
      <c r="C32" s="33"/>
      <c r="D32" s="1"/>
    </row>
    <row r="33" spans="1:4" x14ac:dyDescent="0.25">
      <c r="A33" s="1"/>
      <c r="B33" s="1"/>
      <c r="C33" s="33"/>
      <c r="D33" s="1"/>
    </row>
    <row r="34" spans="1:4" x14ac:dyDescent="0.25">
      <c r="A34" s="1"/>
      <c r="B34" s="1"/>
      <c r="C34" s="33"/>
      <c r="D34" s="1"/>
    </row>
    <row r="35" spans="1:4" x14ac:dyDescent="0.25">
      <c r="A35" s="1"/>
      <c r="B35" s="1"/>
      <c r="C35" s="33"/>
      <c r="D35" s="1"/>
    </row>
    <row r="36" spans="1:4" x14ac:dyDescent="0.25">
      <c r="A36" s="1"/>
      <c r="B36" s="1"/>
      <c r="C36" s="33"/>
      <c r="D36" s="1"/>
    </row>
    <row r="37" spans="1:4" x14ac:dyDescent="0.25">
      <c r="A37" s="1"/>
      <c r="B37" s="1"/>
      <c r="C37" s="33"/>
      <c r="D37" s="1"/>
    </row>
    <row r="38" spans="1:4" x14ac:dyDescent="0.25">
      <c r="A38" s="1"/>
      <c r="B38" s="1"/>
      <c r="C38" s="33"/>
      <c r="D38" s="1"/>
    </row>
    <row r="39" spans="1:4" x14ac:dyDescent="0.25">
      <c r="A39" s="1"/>
      <c r="B39" s="1"/>
      <c r="C39" s="33"/>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sheetData>
  <sheetProtection algorithmName="SHA-512" hashValue="24IbszWiGL0pcr/wBrGaiqEi+HK8PfDc8QRUfOnuUMCYO/7xcSMrd3nYgfKFF3FupLOOa+juZiR3CPcXlVwZkw==" saltValue="fyHFaxV02cJ4Kkeijp2pHg==" spinCount="100000" sheet="1" objects="1" scenarios="1"/>
  <mergeCells count="2">
    <mergeCell ref="B3:C4"/>
    <mergeCell ref="B12:C12"/>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3" t="s">
        <v>127</v>
      </c>
      <c r="C3" s="93"/>
      <c r="D3" s="93"/>
      <c r="E3" s="1"/>
    </row>
    <row r="4" spans="1:5" ht="15" customHeight="1" x14ac:dyDescent="0.25">
      <c r="A4" s="1"/>
      <c r="B4" s="93"/>
      <c r="C4" s="93"/>
      <c r="D4" s="93"/>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50" t="s">
        <v>12</v>
      </c>
      <c r="C8" s="51"/>
      <c r="D8" s="19"/>
      <c r="E8" s="1"/>
    </row>
    <row r="9" spans="1:5" x14ac:dyDescent="0.25">
      <c r="A9" s="1"/>
      <c r="B9" s="53" t="s">
        <v>68</v>
      </c>
      <c r="C9" s="7">
        <f>'Fane 3. Omkostninger i ØR2024'!C20</f>
        <v>29968070.907245047</v>
      </c>
      <c r="D9" s="8" t="s">
        <v>3</v>
      </c>
      <c r="E9" s="1"/>
    </row>
    <row r="10" spans="1:5" ht="17.100000000000001" customHeight="1" x14ac:dyDescent="0.25">
      <c r="A10" s="1"/>
      <c r="B10" s="23" t="s">
        <v>32</v>
      </c>
      <c r="C10" s="7">
        <f>'Fane 10.1. Varige tillæg'!C23</f>
        <v>107999.609035</v>
      </c>
      <c r="D10" s="8" t="s">
        <v>3</v>
      </c>
      <c r="E10" s="1"/>
    </row>
    <row r="11" spans="1:5" ht="17.100000000000001" customHeight="1" x14ac:dyDescent="0.25">
      <c r="A11" s="1"/>
      <c r="B11" s="23" t="s">
        <v>33</v>
      </c>
      <c r="C11" s="9">
        <f>'Fane 10.1. Varige tillæg'!E23</f>
        <v>240102.204486</v>
      </c>
      <c r="D11" s="8" t="s">
        <v>3</v>
      </c>
      <c r="E11" s="1"/>
    </row>
    <row r="12" spans="1:5" ht="17.100000000000001" customHeight="1" x14ac:dyDescent="0.25">
      <c r="A12" s="1"/>
      <c r="B12" s="23" t="s">
        <v>24</v>
      </c>
      <c r="C12" s="9">
        <f>-'Fane 12. Bortfald'!C11</f>
        <v>-61034.250003430105</v>
      </c>
      <c r="D12" s="8" t="s">
        <v>3</v>
      </c>
      <c r="E12" s="1"/>
    </row>
    <row r="13" spans="1:5" ht="17.100000000000001" customHeight="1" x14ac:dyDescent="0.25">
      <c r="A13" s="1"/>
      <c r="B13" s="23" t="s">
        <v>23</v>
      </c>
      <c r="C13" s="9">
        <f>-'Fane 12. Bortfald'!E11</f>
        <v>0</v>
      </c>
      <c r="D13" s="8" t="s">
        <v>3</v>
      </c>
      <c r="E13" s="1"/>
    </row>
    <row r="14" spans="1:5" ht="17.100000000000001" customHeight="1" x14ac:dyDescent="0.25">
      <c r="A14" s="1"/>
      <c r="B14" s="23" t="s">
        <v>61</v>
      </c>
      <c r="C14" s="9">
        <f>'Fane 11. Tilknyttet virksomhed'!C12</f>
        <v>0</v>
      </c>
      <c r="D14" s="8" t="s">
        <v>3</v>
      </c>
      <c r="E14" s="1"/>
    </row>
    <row r="15" spans="1:5" ht="17.100000000000001" customHeight="1" x14ac:dyDescent="0.25">
      <c r="A15" s="1"/>
      <c r="B15" s="23" t="s">
        <v>62</v>
      </c>
      <c r="C15" s="9">
        <f>'Fane 11. Tilknyttet virksomhed'!E12</f>
        <v>0</v>
      </c>
      <c r="D15" s="8" t="s">
        <v>3</v>
      </c>
      <c r="E15" s="1"/>
    </row>
    <row r="16" spans="1:5" ht="17.100000000000001" customHeight="1" x14ac:dyDescent="0.25">
      <c r="A16" s="1"/>
      <c r="B16" s="23" t="s">
        <v>17</v>
      </c>
      <c r="C16" s="9">
        <f>(SUM(C9:C13)+SUM(C14:C15))*'Fane 13. Nøgletal'!C11</f>
        <v>2005915.6806115615</v>
      </c>
      <c r="D16" s="8" t="s">
        <v>3</v>
      </c>
      <c r="E16" s="1"/>
    </row>
    <row r="17" spans="1:5" ht="17.100000000000001" customHeight="1" x14ac:dyDescent="0.25">
      <c r="A17" s="1"/>
      <c r="B17" s="23" t="s">
        <v>9</v>
      </c>
      <c r="C17" s="9">
        <f>-SUM(C9:C16)*'Fane 5. Individuelt eff. krav'!C9</f>
        <v>-270797.05241285847</v>
      </c>
      <c r="D17" s="8" t="s">
        <v>3</v>
      </c>
      <c r="E17" s="1"/>
    </row>
    <row r="18" spans="1:5" ht="17.100000000000001" customHeight="1" x14ac:dyDescent="0.25">
      <c r="A18" s="1"/>
      <c r="B18" s="23" t="s">
        <v>21</v>
      </c>
      <c r="C18" s="9">
        <f>-'Fane 4.1. Gen. krav - drift'!C17</f>
        <v>-261559.42600435839</v>
      </c>
      <c r="D18" s="8" t="s">
        <v>3</v>
      </c>
      <c r="E18" s="1"/>
    </row>
    <row r="19" spans="1:5" ht="17.100000000000001" customHeight="1" x14ac:dyDescent="0.25">
      <c r="A19" s="1"/>
      <c r="B19" s="23" t="s">
        <v>22</v>
      </c>
      <c r="C19" s="9">
        <f>-'Fane 4.2. Gen. krav - anlæg'!C17</f>
        <v>0</v>
      </c>
      <c r="D19" s="8" t="s">
        <v>3</v>
      </c>
      <c r="E19" s="1"/>
    </row>
    <row r="20" spans="1:5" ht="17.100000000000001" customHeight="1" x14ac:dyDescent="0.25">
      <c r="A20" s="1"/>
      <c r="B20" s="73" t="s">
        <v>19</v>
      </c>
      <c r="C20" s="10">
        <f>SUM(C9:C19)</f>
        <v>31728697.672956962</v>
      </c>
      <c r="D20" s="11" t="s">
        <v>3</v>
      </c>
      <c r="E20" s="1"/>
    </row>
    <row r="21" spans="1:5" ht="15" customHeight="1" x14ac:dyDescent="0.25">
      <c r="A21" s="1"/>
      <c r="B21" s="50" t="s">
        <v>11</v>
      </c>
      <c r="C21" s="51"/>
      <c r="D21" s="19"/>
      <c r="E21" s="1"/>
    </row>
    <row r="22" spans="1:5" ht="15" customHeight="1" x14ac:dyDescent="0.25">
      <c r="A22" s="1"/>
      <c r="B22" s="52" t="s">
        <v>11</v>
      </c>
      <c r="C22" s="10">
        <f>'Fane 6. Ikke-påvirkelige omk.'!C20</f>
        <v>21237965.745071858</v>
      </c>
      <c r="D22" s="11" t="s">
        <v>3</v>
      </c>
      <c r="E22" s="1"/>
    </row>
    <row r="23" spans="1:5" ht="15" customHeight="1" x14ac:dyDescent="0.25">
      <c r="A23" s="1"/>
      <c r="B23" s="50" t="s">
        <v>39</v>
      </c>
      <c r="C23" s="51"/>
      <c r="D23" s="19"/>
      <c r="E23" s="1"/>
    </row>
    <row r="24" spans="1:5" ht="15" customHeight="1" x14ac:dyDescent="0.25">
      <c r="A24" s="1"/>
      <c r="B24" s="23" t="s">
        <v>35</v>
      </c>
      <c r="C24" s="9">
        <f>'Fane 10.2. Engangstillæg'!C18</f>
        <v>2105818.3474921002</v>
      </c>
      <c r="D24" s="8" t="s">
        <v>3</v>
      </c>
      <c r="E24" s="1"/>
    </row>
    <row r="25" spans="1:5" ht="15" customHeight="1" x14ac:dyDescent="0.25">
      <c r="A25" s="1"/>
      <c r="B25" s="23" t="s">
        <v>36</v>
      </c>
      <c r="C25" s="9">
        <f>'Fane 10.2. Engangstillæg'!E18</f>
        <v>0</v>
      </c>
      <c r="D25" s="8" t="s">
        <v>3</v>
      </c>
      <c r="E25" s="1"/>
    </row>
    <row r="26" spans="1:5" ht="15" customHeight="1" x14ac:dyDescent="0.25">
      <c r="A26" s="1"/>
      <c r="B26" s="23" t="s">
        <v>79</v>
      </c>
      <c r="C26" s="9">
        <f>-C24*('Fane 13. Nøgletal'!C23+'Fane 5. Individuelt eff. krav'!C9)</f>
        <v>-59792.460196580731</v>
      </c>
      <c r="D26" s="8" t="s">
        <v>3</v>
      </c>
      <c r="E26" s="1"/>
    </row>
    <row r="27" spans="1:5" ht="15" customHeight="1" x14ac:dyDescent="0.25">
      <c r="A27" s="1"/>
      <c r="B27" s="23" t="s">
        <v>80</v>
      </c>
      <c r="C27" s="9">
        <f>-C25*('Fane 13. Nøgletal'!C18+'Fane 5. Individuelt eff. krav'!C9)</f>
        <v>0</v>
      </c>
      <c r="D27" s="8" t="s">
        <v>3</v>
      </c>
      <c r="E27" s="1"/>
    </row>
    <row r="28" spans="1:5" x14ac:dyDescent="0.25">
      <c r="A28" s="1"/>
      <c r="B28" s="73" t="s">
        <v>40</v>
      </c>
      <c r="C28" s="10">
        <f>SUM(C24:C27)</f>
        <v>2046025.8872955195</v>
      </c>
      <c r="D28" s="11" t="s">
        <v>3</v>
      </c>
      <c r="E28" s="1"/>
    </row>
    <row r="29" spans="1:5" ht="15" customHeight="1" x14ac:dyDescent="0.25">
      <c r="A29" s="1"/>
      <c r="B29" s="24" t="s">
        <v>65</v>
      </c>
      <c r="C29" s="51"/>
      <c r="D29" s="19"/>
      <c r="E29" s="1"/>
    </row>
    <row r="30" spans="1:5" x14ac:dyDescent="0.25">
      <c r="A30" s="1"/>
      <c r="B30" s="56" t="s">
        <v>66</v>
      </c>
      <c r="C30" s="10">
        <f>'Fane 7. Kontrol af ØR2023'!C30</f>
        <v>0</v>
      </c>
      <c r="D30" s="11" t="s">
        <v>3</v>
      </c>
      <c r="E30" s="1"/>
    </row>
    <row r="31" spans="1:5" x14ac:dyDescent="0.25">
      <c r="A31" s="1"/>
      <c r="B31" s="24" t="s">
        <v>70</v>
      </c>
      <c r="C31" s="51"/>
      <c r="D31" s="19"/>
      <c r="E31" s="1"/>
    </row>
    <row r="32" spans="1:5" x14ac:dyDescent="0.25">
      <c r="A32" s="1"/>
      <c r="B32" s="56" t="s">
        <v>71</v>
      </c>
      <c r="C32" s="10">
        <f>'Fane 8. Skattesagen'!C14</f>
        <v>0</v>
      </c>
      <c r="D32" s="11" t="s">
        <v>3</v>
      </c>
      <c r="E32" s="1"/>
    </row>
    <row r="33" spans="1:5" x14ac:dyDescent="0.25">
      <c r="A33" s="1"/>
      <c r="B33" s="50" t="s">
        <v>69</v>
      </c>
      <c r="C33" s="28">
        <f>SUM(C20,C22,C28,C30,C32)</f>
        <v>55012689.305324338</v>
      </c>
      <c r="D33" s="19" t="s">
        <v>3</v>
      </c>
      <c r="E33" s="1"/>
    </row>
    <row r="34" spans="1:5" x14ac:dyDescent="0.25">
      <c r="A34" s="1"/>
      <c r="B34" s="1" t="s">
        <v>82</v>
      </c>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fMzO4GCN8+TVrh7+zhGo36fWASgMRa6MrPR/EnmE63xhqvq97AHV5s2PxGddEoQVfKNjX692pQHX2aS+kT1oKg==" saltValue="ehwGJuVvo9jwVi4e7xrI5A=="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3" t="s">
        <v>128</v>
      </c>
      <c r="C3" s="93"/>
      <c r="D3" s="93"/>
      <c r="E3" s="1"/>
    </row>
    <row r="4" spans="1:5" ht="15" customHeight="1" x14ac:dyDescent="0.25">
      <c r="A4" s="1"/>
      <c r="B4" s="93"/>
      <c r="C4" s="93"/>
      <c r="D4" s="93"/>
      <c r="E4" s="1"/>
    </row>
    <row r="5" spans="1:5" x14ac:dyDescent="0.25">
      <c r="A5" s="1"/>
      <c r="B5" s="94"/>
      <c r="C5" s="94"/>
      <c r="D5" s="94"/>
      <c r="E5" s="1"/>
    </row>
    <row r="6" spans="1:5" x14ac:dyDescent="0.25">
      <c r="A6" s="1"/>
      <c r="B6" s="66"/>
      <c r="C6" s="66"/>
      <c r="D6" s="66"/>
      <c r="E6" s="1"/>
    </row>
    <row r="7" spans="1:5" x14ac:dyDescent="0.25">
      <c r="A7" s="1"/>
      <c r="B7" s="1"/>
      <c r="C7" s="1"/>
      <c r="D7" s="1"/>
      <c r="E7" s="1"/>
    </row>
    <row r="8" spans="1:5" x14ac:dyDescent="0.25">
      <c r="A8" s="1"/>
      <c r="B8" s="50" t="s">
        <v>12</v>
      </c>
      <c r="C8" s="51"/>
      <c r="D8" s="19"/>
      <c r="E8" s="1"/>
    </row>
    <row r="9" spans="1:5" ht="15" customHeight="1" x14ac:dyDescent="0.25">
      <c r="A9" s="1"/>
      <c r="B9" s="53" t="s">
        <v>72</v>
      </c>
      <c r="C9" s="7">
        <f>'Fane 2.1. Økonomisk ramme 2025'!C20</f>
        <v>31728697.672956962</v>
      </c>
      <c r="D9" s="8" t="s">
        <v>3</v>
      </c>
      <c r="E9" s="1"/>
    </row>
    <row r="10" spans="1:5" ht="15" customHeight="1" x14ac:dyDescent="0.25">
      <c r="A10" s="1"/>
      <c r="B10" s="46" t="s">
        <v>17</v>
      </c>
      <c r="C10" s="40">
        <f>C9*'Fane 13. Nøgletal'!C11</f>
        <v>2103612.6557170465</v>
      </c>
      <c r="D10" s="8" t="s">
        <v>3</v>
      </c>
      <c r="E10" s="1"/>
    </row>
    <row r="11" spans="1:5" ht="15" customHeight="1" x14ac:dyDescent="0.25">
      <c r="A11" s="1"/>
      <c r="B11" s="46" t="s">
        <v>9</v>
      </c>
      <c r="C11" s="9">
        <f>-SUM(C9:C10)*'Fane 5. Individuelt eff. krav'!C9</f>
        <v>-283986.06785549753</v>
      </c>
      <c r="D11" s="8" t="s">
        <v>3</v>
      </c>
      <c r="E11" s="1"/>
    </row>
    <row r="12" spans="1:5" ht="15" customHeight="1" x14ac:dyDescent="0.25">
      <c r="A12" s="1"/>
      <c r="B12" s="46" t="s">
        <v>21</v>
      </c>
      <c r="C12" s="9">
        <f>-'Fane 4.1. Gen. krav - drift'!C22</f>
        <v>-273322.79962947842</v>
      </c>
      <c r="D12" s="8" t="s">
        <v>3</v>
      </c>
      <c r="E12" s="1"/>
    </row>
    <row r="13" spans="1:5" ht="15" customHeight="1" x14ac:dyDescent="0.25">
      <c r="A13" s="1"/>
      <c r="B13" s="46" t="s">
        <v>22</v>
      </c>
      <c r="C13" s="9">
        <f>-'Fane 4.2. Gen. krav - anlæg'!C22</f>
        <v>0</v>
      </c>
      <c r="D13" s="8" t="s">
        <v>3</v>
      </c>
      <c r="E13" s="1"/>
    </row>
    <row r="14" spans="1:5" ht="15" customHeight="1" x14ac:dyDescent="0.25">
      <c r="A14" s="1"/>
      <c r="B14" s="49" t="s">
        <v>19</v>
      </c>
      <c r="C14" s="10">
        <f>SUM(C9:C13)</f>
        <v>33275001.461189035</v>
      </c>
      <c r="D14" s="11" t="s">
        <v>3</v>
      </c>
      <c r="E14" s="1"/>
    </row>
    <row r="15" spans="1:5" x14ac:dyDescent="0.25">
      <c r="A15" s="1"/>
      <c r="B15" s="50" t="s">
        <v>11</v>
      </c>
      <c r="C15" s="51"/>
      <c r="D15" s="19"/>
      <c r="E15" s="1"/>
    </row>
    <row r="16" spans="1:5" ht="15" customHeight="1" x14ac:dyDescent="0.25">
      <c r="A16" s="1"/>
      <c r="B16" s="52" t="s">
        <v>11</v>
      </c>
      <c r="C16" s="10">
        <f>'Fane 6. Ikke-påvirkelige omk.'!C20*(1+'Fane 13. Nøgletal'!C11)</f>
        <v>22646042.873970121</v>
      </c>
      <c r="D16" s="11" t="s">
        <v>3</v>
      </c>
      <c r="E16" s="1"/>
    </row>
    <row r="17" spans="1:5" x14ac:dyDescent="0.25">
      <c r="A17" s="1"/>
      <c r="B17" s="24" t="s">
        <v>65</v>
      </c>
      <c r="C17" s="51"/>
      <c r="D17" s="19"/>
      <c r="E17" s="1"/>
    </row>
    <row r="18" spans="1:5" ht="15" customHeight="1" x14ac:dyDescent="0.25">
      <c r="A18" s="1"/>
      <c r="B18" s="44" t="s">
        <v>66</v>
      </c>
      <c r="C18" s="10">
        <f>'Fane 7. Kontrol af ØR2023'!C30</f>
        <v>0</v>
      </c>
      <c r="D18" s="11" t="s">
        <v>3</v>
      </c>
      <c r="E18" s="1"/>
    </row>
    <row r="19" spans="1:5" x14ac:dyDescent="0.25">
      <c r="A19" s="1"/>
      <c r="B19" s="24" t="s">
        <v>70</v>
      </c>
      <c r="C19" s="51"/>
      <c r="D19" s="19"/>
      <c r="E19" s="1"/>
    </row>
    <row r="20" spans="1:5" x14ac:dyDescent="0.25">
      <c r="A20" s="1"/>
      <c r="B20" s="56" t="s">
        <v>71</v>
      </c>
      <c r="C20" s="10">
        <f>'Fane 8. Skattesagen'!C15</f>
        <v>0</v>
      </c>
      <c r="D20" s="11" t="s">
        <v>3</v>
      </c>
      <c r="E20" s="1"/>
    </row>
    <row r="21" spans="1:5" x14ac:dyDescent="0.25">
      <c r="A21" s="1"/>
      <c r="B21" s="50" t="s">
        <v>73</v>
      </c>
      <c r="C21" s="12">
        <f>SUM(C14,C16,C18,C20)</f>
        <v>55921044.335159153</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Ipd9OSUGHH7ZpR7gw0bKCKVlNSkSsY83XhIwvd+WV5DlSuS00zJfuSlGGLuJxNNv3falCrbBOh/cAGCvFh46YQ==" saltValue="u4NnBQkoPhkI7c9goJ/eU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A0D23-1CF3-4FC4-9013-EC4F18E47887}">
  <sheetPr codeName="Ark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3" t="s">
        <v>129</v>
      </c>
      <c r="C3" s="93"/>
      <c r="D3" s="93"/>
      <c r="E3" s="1"/>
    </row>
    <row r="4" spans="1:5" ht="15" customHeight="1" x14ac:dyDescent="0.25">
      <c r="A4" s="1"/>
      <c r="B4" s="93"/>
      <c r="C4" s="93"/>
      <c r="D4" s="93"/>
      <c r="E4" s="1"/>
    </row>
    <row r="5" spans="1:5" x14ac:dyDescent="0.25">
      <c r="A5" s="1"/>
      <c r="B5" s="94" t="s">
        <v>20</v>
      </c>
      <c r="C5" s="94"/>
      <c r="D5" s="94"/>
      <c r="E5" s="1"/>
    </row>
    <row r="6" spans="1:5" x14ac:dyDescent="0.25">
      <c r="A6" s="1"/>
      <c r="B6" s="66"/>
      <c r="C6" s="66"/>
      <c r="D6" s="66"/>
      <c r="E6" s="1"/>
    </row>
    <row r="7" spans="1:5" x14ac:dyDescent="0.25">
      <c r="A7" s="1"/>
      <c r="B7" s="1"/>
      <c r="C7" s="1"/>
      <c r="D7" s="1"/>
      <c r="E7" s="1"/>
    </row>
    <row r="8" spans="1:5" x14ac:dyDescent="0.25">
      <c r="A8" s="1"/>
      <c r="B8" s="50" t="s">
        <v>12</v>
      </c>
      <c r="C8" s="51"/>
      <c r="D8" s="19"/>
      <c r="E8" s="1"/>
    </row>
    <row r="9" spans="1:5" ht="15" customHeight="1" x14ac:dyDescent="0.25">
      <c r="A9" s="1"/>
      <c r="B9" s="53" t="s">
        <v>108</v>
      </c>
      <c r="C9" s="7">
        <f>'Fane 2.2. Økonomisk ramme 2026'!C14</f>
        <v>33275001.461189035</v>
      </c>
      <c r="D9" s="8" t="s">
        <v>3</v>
      </c>
      <c r="E9" s="1"/>
    </row>
    <row r="10" spans="1:5" ht="15" customHeight="1" x14ac:dyDescent="0.25">
      <c r="A10" s="1"/>
      <c r="B10" s="46" t="s">
        <v>17</v>
      </c>
      <c r="C10" s="40">
        <f>C9*'Fane 13. Nøgletal'!C11</f>
        <v>2206132.5968768331</v>
      </c>
      <c r="D10" s="8" t="s">
        <v>3</v>
      </c>
      <c r="E10" s="1"/>
    </row>
    <row r="11" spans="1:5" ht="15" customHeight="1" x14ac:dyDescent="0.25">
      <c r="A11" s="1"/>
      <c r="B11" s="46" t="s">
        <v>9</v>
      </c>
      <c r="C11" s="9">
        <f>-SUM(C9:C10)*'Fane 5. Individuelt eff. krav'!C9</f>
        <v>-297826.17995390127</v>
      </c>
      <c r="D11" s="8" t="s">
        <v>3</v>
      </c>
      <c r="E11" s="1"/>
    </row>
    <row r="12" spans="1:5" ht="15" customHeight="1" x14ac:dyDescent="0.25">
      <c r="A12" s="1"/>
      <c r="B12" s="46" t="s">
        <v>21</v>
      </c>
      <c r="C12" s="9">
        <f>-'Fane 4.1. Gen. krav - drift'!C27</f>
        <v>-285615.21922001458</v>
      </c>
      <c r="D12" s="8" t="s">
        <v>3</v>
      </c>
      <c r="E12" s="1"/>
    </row>
    <row r="13" spans="1:5" ht="15" customHeight="1" x14ac:dyDescent="0.25">
      <c r="A13" s="1"/>
      <c r="B13" s="46" t="s">
        <v>22</v>
      </c>
      <c r="C13" s="9">
        <f>-'Fane 4.2. Gen. krav - anlæg'!C27</f>
        <v>0</v>
      </c>
      <c r="D13" s="8" t="s">
        <v>3</v>
      </c>
      <c r="E13" s="1"/>
    </row>
    <row r="14" spans="1:5" ht="15" customHeight="1" x14ac:dyDescent="0.25">
      <c r="A14" s="1"/>
      <c r="B14" s="49" t="s">
        <v>19</v>
      </c>
      <c r="C14" s="10">
        <f>SUM(C9:C13)</f>
        <v>34897692.658891954</v>
      </c>
      <c r="D14" s="11" t="s">
        <v>3</v>
      </c>
      <c r="E14" s="1"/>
    </row>
    <row r="15" spans="1:5" x14ac:dyDescent="0.25">
      <c r="A15" s="1"/>
      <c r="B15" s="50" t="s">
        <v>11</v>
      </c>
      <c r="C15" s="51"/>
      <c r="D15" s="19"/>
      <c r="E15" s="1"/>
    </row>
    <row r="16" spans="1:5" ht="15" customHeight="1" x14ac:dyDescent="0.25">
      <c r="A16" s="1"/>
      <c r="B16" s="52" t="s">
        <v>11</v>
      </c>
      <c r="C16" s="10">
        <f>'Fane 6. Ikke-påvirkelige omk.'!C20*(1+'Fane 13. Nøgletal'!C11)^2</f>
        <v>24147475.516514342</v>
      </c>
      <c r="D16" s="11" t="s">
        <v>3</v>
      </c>
      <c r="E16" s="1"/>
    </row>
    <row r="17" spans="1:5" x14ac:dyDescent="0.25">
      <c r="A17" s="1"/>
      <c r="B17" s="24" t="s">
        <v>65</v>
      </c>
      <c r="C17" s="51"/>
      <c r="D17" s="19"/>
      <c r="E17" s="1"/>
    </row>
    <row r="18" spans="1:5" ht="15" customHeight="1" x14ac:dyDescent="0.25">
      <c r="A18" s="1"/>
      <c r="B18" s="44" t="s">
        <v>66</v>
      </c>
      <c r="C18" s="10">
        <v>0</v>
      </c>
      <c r="D18" s="11" t="s">
        <v>3</v>
      </c>
      <c r="E18" s="1"/>
    </row>
    <row r="19" spans="1:5" x14ac:dyDescent="0.25">
      <c r="A19" s="1"/>
      <c r="B19" s="50" t="s">
        <v>70</v>
      </c>
      <c r="C19" s="51"/>
      <c r="D19" s="19"/>
      <c r="E19" s="1"/>
    </row>
    <row r="20" spans="1:5" x14ac:dyDescent="0.25">
      <c r="A20" s="1"/>
      <c r="B20" s="56" t="s">
        <v>71</v>
      </c>
      <c r="C20" s="10">
        <f>'Fane 8. Skattesagen'!C16</f>
        <v>0</v>
      </c>
      <c r="D20" s="11" t="s">
        <v>3</v>
      </c>
      <c r="E20" s="1"/>
    </row>
    <row r="21" spans="1:5" x14ac:dyDescent="0.25">
      <c r="A21" s="1"/>
      <c r="B21" s="50" t="s">
        <v>109</v>
      </c>
      <c r="C21" s="12">
        <f>SUM(C14,C16,C18,C20)</f>
        <v>59045168.175406292</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Sxwbpnu+CwgWMQlzeF5JQxDaGEwCJHoOgErAIjmIMlzVTncXvcdQKnW7GnO7lk+8r5tOtInWl8eyItO3NYk6hQ==" saltValue="kzCU9tokhHRbUgAcLvt6y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3" t="s">
        <v>130</v>
      </c>
      <c r="C3" s="93"/>
      <c r="D3" s="93"/>
      <c r="E3" s="1"/>
    </row>
    <row r="4" spans="1:5" ht="15" customHeight="1" x14ac:dyDescent="0.25">
      <c r="A4" s="1"/>
      <c r="B4" s="93"/>
      <c r="C4" s="93"/>
      <c r="D4" s="93"/>
      <c r="E4" s="1"/>
    </row>
    <row r="5" spans="1:5" x14ac:dyDescent="0.25">
      <c r="A5" s="1"/>
      <c r="B5" s="94" t="s">
        <v>20</v>
      </c>
      <c r="C5" s="94"/>
      <c r="D5" s="94"/>
      <c r="E5" s="1"/>
    </row>
    <row r="6" spans="1:5" x14ac:dyDescent="0.25">
      <c r="A6" s="1"/>
      <c r="B6" s="66"/>
      <c r="C6" s="66"/>
      <c r="D6" s="66"/>
      <c r="E6" s="1"/>
    </row>
    <row r="7" spans="1:5" x14ac:dyDescent="0.25">
      <c r="A7" s="1"/>
      <c r="B7" s="1"/>
      <c r="C7" s="1"/>
      <c r="D7" s="1"/>
      <c r="E7" s="1"/>
    </row>
    <row r="8" spans="1:5" x14ac:dyDescent="0.25">
      <c r="A8" s="1"/>
      <c r="B8" s="50" t="s">
        <v>12</v>
      </c>
      <c r="C8" s="51"/>
      <c r="D8" s="19"/>
      <c r="E8" s="1"/>
    </row>
    <row r="9" spans="1:5" ht="15" customHeight="1" x14ac:dyDescent="0.25">
      <c r="A9" s="1"/>
      <c r="B9" s="53" t="s">
        <v>131</v>
      </c>
      <c r="C9" s="7">
        <f>'Fane 2.3. Økonomisk ramme 2027'!C14</f>
        <v>34897692.658891954</v>
      </c>
      <c r="D9" s="8" t="s">
        <v>3</v>
      </c>
      <c r="E9" s="1"/>
    </row>
    <row r="10" spans="1:5" ht="15" customHeight="1" x14ac:dyDescent="0.25">
      <c r="A10" s="1"/>
      <c r="B10" s="46" t="s">
        <v>17</v>
      </c>
      <c r="C10" s="9">
        <f>C9*'Fane 13. Nøgletal'!C11</f>
        <v>2313717.0232845363</v>
      </c>
      <c r="D10" s="8" t="s">
        <v>3</v>
      </c>
      <c r="E10" s="1"/>
    </row>
    <row r="11" spans="1:5" ht="15" customHeight="1" x14ac:dyDescent="0.25">
      <c r="A11" s="1"/>
      <c r="B11" s="46" t="s">
        <v>9</v>
      </c>
      <c r="C11" s="9">
        <f>-SUM(C9:C10)*'Fane 5. Individuelt eff. krav'!C9</f>
        <v>-312349.99361084023</v>
      </c>
      <c r="D11" s="8" t="s">
        <v>3</v>
      </c>
      <c r="E11" s="1"/>
    </row>
    <row r="12" spans="1:5" ht="15" customHeight="1" x14ac:dyDescent="0.25">
      <c r="A12" s="1"/>
      <c r="B12" s="46" t="s">
        <v>21</v>
      </c>
      <c r="C12" s="9">
        <f>-'Fane 4.1. Gen. krav - drift'!C32</f>
        <v>-298460.47808921552</v>
      </c>
      <c r="D12" s="8" t="s">
        <v>3</v>
      </c>
      <c r="E12" s="1"/>
    </row>
    <row r="13" spans="1:5" ht="15" customHeight="1" x14ac:dyDescent="0.25">
      <c r="A13" s="1"/>
      <c r="B13" s="46" t="s">
        <v>22</v>
      </c>
      <c r="C13" s="9">
        <f>-'Fane 4.2. Gen. krav - anlæg'!C32</f>
        <v>0</v>
      </c>
      <c r="D13" s="8" t="s">
        <v>3</v>
      </c>
      <c r="E13" s="1"/>
    </row>
    <row r="14" spans="1:5" x14ac:dyDescent="0.25">
      <c r="A14" s="1"/>
      <c r="B14" s="49" t="s">
        <v>19</v>
      </c>
      <c r="C14" s="10">
        <f>SUM(C9:C13)</f>
        <v>36600599.210476443</v>
      </c>
      <c r="D14" s="11" t="s">
        <v>3</v>
      </c>
      <c r="E14" s="1"/>
    </row>
    <row r="15" spans="1:5" x14ac:dyDescent="0.25">
      <c r="A15" s="1"/>
      <c r="B15" s="50" t="s">
        <v>11</v>
      </c>
      <c r="C15" s="51"/>
      <c r="D15" s="19"/>
      <c r="E15" s="1"/>
    </row>
    <row r="16" spans="1:5" ht="15" customHeight="1" x14ac:dyDescent="0.25">
      <c r="A16" s="1"/>
      <c r="B16" s="52" t="s">
        <v>11</v>
      </c>
      <c r="C16" s="10">
        <f>'Fane 6. Ikke-påvirkelige omk.'!C20*(1+'Fane 13. Nøgletal'!C11)^3</f>
        <v>25748453.143259246</v>
      </c>
      <c r="D16" s="11" t="s">
        <v>3</v>
      </c>
      <c r="E16" s="1"/>
    </row>
    <row r="17" spans="1:5" x14ac:dyDescent="0.25">
      <c r="A17" s="1"/>
      <c r="B17" s="24" t="s">
        <v>70</v>
      </c>
      <c r="C17" s="51"/>
      <c r="D17" s="19"/>
      <c r="E17" s="1"/>
    </row>
    <row r="18" spans="1:5" x14ac:dyDescent="0.25">
      <c r="A18" s="1"/>
      <c r="B18" s="56" t="s">
        <v>71</v>
      </c>
      <c r="C18" s="10">
        <f>'Fane 8. Skattesagen'!C17</f>
        <v>0</v>
      </c>
      <c r="D18" s="11" t="s">
        <v>3</v>
      </c>
      <c r="E18" s="1"/>
    </row>
    <row r="19" spans="1:5" x14ac:dyDescent="0.25">
      <c r="A19" s="1"/>
      <c r="B19" s="50" t="s">
        <v>132</v>
      </c>
      <c r="C19" s="12">
        <f>SUM(C14,C16,C18)</f>
        <v>62349052.353735685</v>
      </c>
      <c r="D19" s="13" t="s">
        <v>3</v>
      </c>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1gC9LtrQsRNuVLfYA3K4ABLMcni2DXUzDZfAeRthAGaExShpt5iuovvltF8JwXzYeWbFpuc1+93k75RFe9xIUA==" saltValue="IWGkGOfRrPtTzp7BjdijF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0"/>
  <sheetViews>
    <sheetView showGridLines="0" zoomScaleNormal="100" workbookViewId="0"/>
  </sheetViews>
  <sheetFormatPr defaultColWidth="0" defaultRowHeight="15" zeroHeight="1"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95" t="s">
        <v>133</v>
      </c>
      <c r="C3" s="95"/>
      <c r="D3" s="95"/>
      <c r="E3" s="1"/>
    </row>
    <row r="4" spans="1:5" ht="15" customHeight="1" x14ac:dyDescent="0.25">
      <c r="A4" s="1"/>
      <c r="B4" s="95"/>
      <c r="C4" s="95"/>
      <c r="D4" s="95"/>
      <c r="E4" s="1"/>
    </row>
    <row r="5" spans="1:5" ht="15" customHeight="1" x14ac:dyDescent="0.25">
      <c r="A5" s="1"/>
      <c r="B5" s="1"/>
      <c r="C5" s="1"/>
      <c r="D5" s="1"/>
      <c r="E5" s="1"/>
    </row>
    <row r="6" spans="1:5" ht="15" customHeight="1" x14ac:dyDescent="0.25">
      <c r="A6" s="1"/>
      <c r="B6" s="1"/>
      <c r="C6" s="1"/>
      <c r="D6" s="1"/>
      <c r="E6" s="1"/>
    </row>
    <row r="7" spans="1:5" x14ac:dyDescent="0.25">
      <c r="A7" s="1"/>
      <c r="B7" s="1"/>
      <c r="C7" s="1"/>
      <c r="D7" s="1"/>
      <c r="E7" s="1"/>
    </row>
    <row r="8" spans="1:5" x14ac:dyDescent="0.25">
      <c r="A8" s="1"/>
      <c r="B8" s="50" t="s">
        <v>134</v>
      </c>
      <c r="C8" s="51"/>
      <c r="D8" s="19"/>
      <c r="E8" s="1"/>
    </row>
    <row r="9" spans="1:5" x14ac:dyDescent="0.25">
      <c r="A9" s="1"/>
      <c r="B9" s="53" t="s">
        <v>63</v>
      </c>
      <c r="C9" s="7">
        <v>26187112.979002096</v>
      </c>
      <c r="D9" s="8" t="s">
        <v>3</v>
      </c>
      <c r="E9" s="1"/>
    </row>
    <row r="10" spans="1:5" x14ac:dyDescent="0.25">
      <c r="A10" s="1"/>
      <c r="B10" s="23" t="s">
        <v>32</v>
      </c>
      <c r="C10" s="7">
        <v>1224077.2571440001</v>
      </c>
      <c r="D10" s="8" t="s">
        <v>3</v>
      </c>
      <c r="E10" s="1"/>
    </row>
    <row r="11" spans="1:5" ht="15" customHeight="1" x14ac:dyDescent="0.25">
      <c r="A11" s="1"/>
      <c r="B11" s="23" t="s">
        <v>33</v>
      </c>
      <c r="C11" s="9">
        <v>1980464.091368</v>
      </c>
      <c r="D11" s="8" t="s">
        <v>3</v>
      </c>
      <c r="E11" s="1"/>
    </row>
    <row r="12" spans="1:5" ht="15" customHeight="1" x14ac:dyDescent="0.25">
      <c r="A12" s="1"/>
      <c r="B12" s="23" t="s">
        <v>24</v>
      </c>
      <c r="C12" s="9">
        <v>0</v>
      </c>
      <c r="D12" s="8" t="s">
        <v>3</v>
      </c>
      <c r="E12" s="1"/>
    </row>
    <row r="13" spans="1:5" x14ac:dyDescent="0.25">
      <c r="A13" s="1"/>
      <c r="B13" s="23" t="s">
        <v>23</v>
      </c>
      <c r="C13" s="9">
        <v>0</v>
      </c>
      <c r="D13" s="8" t="s">
        <v>3</v>
      </c>
      <c r="E13" s="1"/>
    </row>
    <row r="14" spans="1:5" x14ac:dyDescent="0.25">
      <c r="A14" s="1"/>
      <c r="B14" s="23" t="s">
        <v>61</v>
      </c>
      <c r="C14" s="9">
        <v>0</v>
      </c>
      <c r="D14" s="8" t="s">
        <v>3</v>
      </c>
      <c r="E14" s="1"/>
    </row>
    <row r="15" spans="1:5" x14ac:dyDescent="0.25">
      <c r="A15" s="1"/>
      <c r="B15" s="23" t="s">
        <v>62</v>
      </c>
      <c r="C15" s="9">
        <v>0</v>
      </c>
      <c r="D15" s="8" t="s">
        <v>3</v>
      </c>
      <c r="E15" s="1"/>
    </row>
    <row r="16" spans="1:5" x14ac:dyDescent="0.25">
      <c r="A16" s="1"/>
      <c r="B16" s="23" t="s">
        <v>17</v>
      </c>
      <c r="C16" s="9">
        <v>1191188.1630122443</v>
      </c>
      <c r="D16" s="8" t="s">
        <v>3</v>
      </c>
      <c r="E16" s="1"/>
    </row>
    <row r="17" spans="1:5" x14ac:dyDescent="0.25">
      <c r="A17" s="1"/>
      <c r="B17" s="23" t="s">
        <v>9</v>
      </c>
      <c r="C17" s="9">
        <v>-365427.73093888862</v>
      </c>
      <c r="D17" s="8" t="s">
        <v>3</v>
      </c>
      <c r="E17" s="1"/>
    </row>
    <row r="18" spans="1:5" x14ac:dyDescent="0.25">
      <c r="A18" s="1"/>
      <c r="B18" s="23" t="s">
        <v>21</v>
      </c>
      <c r="C18" s="9">
        <v>-249343.85234240384</v>
      </c>
      <c r="D18" s="8" t="s">
        <v>3</v>
      </c>
      <c r="E18" s="1"/>
    </row>
    <row r="19" spans="1:5" x14ac:dyDescent="0.25">
      <c r="A19" s="1"/>
      <c r="B19" s="23" t="s">
        <v>22</v>
      </c>
      <c r="C19" s="9">
        <v>0</v>
      </c>
      <c r="D19" s="8" t="s">
        <v>3</v>
      </c>
      <c r="E19" s="1"/>
    </row>
    <row r="20" spans="1:5" x14ac:dyDescent="0.25">
      <c r="A20" s="1"/>
      <c r="B20" s="73" t="s">
        <v>19</v>
      </c>
      <c r="C20" s="10">
        <v>29968070.907245047</v>
      </c>
      <c r="D20" s="11" t="s">
        <v>3</v>
      </c>
      <c r="E20" s="1"/>
    </row>
    <row r="21" spans="1:5" x14ac:dyDescent="0.25">
      <c r="A21" s="1"/>
      <c r="B21" s="50" t="s">
        <v>11</v>
      </c>
      <c r="C21" s="51"/>
      <c r="D21" s="19"/>
      <c r="E21" s="1"/>
    </row>
    <row r="22" spans="1:5" x14ac:dyDescent="0.25">
      <c r="A22" s="1"/>
      <c r="B22" s="52" t="s">
        <v>11</v>
      </c>
      <c r="C22" s="10">
        <v>22954002.2862304</v>
      </c>
      <c r="D22" s="11" t="s">
        <v>3</v>
      </c>
      <c r="E22" s="1"/>
    </row>
    <row r="23" spans="1:5" x14ac:dyDescent="0.25">
      <c r="A23" s="1"/>
      <c r="B23" s="50" t="s">
        <v>39</v>
      </c>
      <c r="C23" s="51"/>
      <c r="D23" s="19"/>
      <c r="E23" s="1"/>
    </row>
    <row r="24" spans="1:5" ht="15" customHeight="1" x14ac:dyDescent="0.25">
      <c r="A24" s="1"/>
      <c r="B24" s="23" t="s">
        <v>35</v>
      </c>
      <c r="C24" s="9">
        <v>2256434.2256575166</v>
      </c>
      <c r="D24" s="8" t="s">
        <v>3</v>
      </c>
      <c r="E24" s="1"/>
    </row>
    <row r="25" spans="1:5" ht="14.25" customHeight="1" x14ac:dyDescent="0.25">
      <c r="A25" s="1"/>
      <c r="B25" s="23" t="s">
        <v>36</v>
      </c>
      <c r="C25" s="9">
        <v>0</v>
      </c>
      <c r="D25" s="8" t="s">
        <v>3</v>
      </c>
      <c r="E25" s="1"/>
    </row>
    <row r="26" spans="1:5" ht="14.25" customHeight="1" x14ac:dyDescent="0.25">
      <c r="A26" s="1"/>
      <c r="B26" s="23" t="s">
        <v>79</v>
      </c>
      <c r="C26" s="9">
        <v>-72090.326137871773</v>
      </c>
      <c r="D26" s="8" t="s">
        <v>3</v>
      </c>
      <c r="E26" s="1"/>
    </row>
    <row r="27" spans="1:5" ht="14.25" customHeight="1" x14ac:dyDescent="0.25">
      <c r="A27" s="1"/>
      <c r="B27" s="23" t="s">
        <v>80</v>
      </c>
      <c r="C27" s="9">
        <v>0</v>
      </c>
      <c r="D27" s="8" t="s">
        <v>3</v>
      </c>
      <c r="E27" s="1"/>
    </row>
    <row r="28" spans="1:5" ht="14.25" customHeight="1" x14ac:dyDescent="0.25">
      <c r="A28" s="1"/>
      <c r="B28" s="73" t="s">
        <v>40</v>
      </c>
      <c r="C28" s="61">
        <v>2184343.8995196447</v>
      </c>
      <c r="D28" s="11" t="s">
        <v>3</v>
      </c>
      <c r="E28" s="1"/>
    </row>
    <row r="29" spans="1:5" x14ac:dyDescent="0.25">
      <c r="A29" s="1"/>
      <c r="B29" s="24" t="s">
        <v>65</v>
      </c>
      <c r="C29" s="51"/>
      <c r="D29" s="19"/>
      <c r="E29" s="1"/>
    </row>
    <row r="30" spans="1:5" x14ac:dyDescent="0.25">
      <c r="A30" s="1"/>
      <c r="B30" s="56" t="s">
        <v>66</v>
      </c>
      <c r="C30" s="10">
        <v>0</v>
      </c>
      <c r="D30" s="11" t="s">
        <v>3</v>
      </c>
      <c r="E30" s="1"/>
    </row>
    <row r="31" spans="1:5" ht="15" customHeight="1" x14ac:dyDescent="0.25">
      <c r="A31" s="1"/>
      <c r="B31" s="24" t="s">
        <v>70</v>
      </c>
      <c r="C31" s="51"/>
      <c r="D31" s="19"/>
      <c r="E31" s="1"/>
    </row>
    <row r="32" spans="1:5" ht="15.6" customHeight="1" x14ac:dyDescent="0.25">
      <c r="A32" s="1"/>
      <c r="B32" s="56" t="s">
        <v>71</v>
      </c>
      <c r="C32" s="10">
        <v>0</v>
      </c>
      <c r="D32" s="11" t="s">
        <v>3</v>
      </c>
      <c r="E32" s="1"/>
    </row>
    <row r="33" spans="1:5" ht="15.6" customHeight="1" x14ac:dyDescent="0.25">
      <c r="A33" s="1"/>
      <c r="B33" s="50" t="s">
        <v>67</v>
      </c>
      <c r="C33" s="28">
        <v>55106417.092995092</v>
      </c>
      <c r="D33" s="19" t="s">
        <v>3</v>
      </c>
      <c r="E33" s="1"/>
    </row>
    <row r="34" spans="1:5" ht="30" customHeight="1" x14ac:dyDescent="0.25">
      <c r="A34" s="1"/>
      <c r="B34" s="96" t="s">
        <v>190</v>
      </c>
      <c r="C34" s="96"/>
      <c r="D34" s="96"/>
      <c r="E34" s="1"/>
    </row>
    <row r="35" spans="1:5" ht="27.75" customHeight="1"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yml33rnsZEgmlGIZpFsFJb5nkZciU3/lHPbRu1l9jc9VZoccdDyWsgcNQ5deskNUHizZXNGaIMKax4/FUQsttQ==" saltValue="LUrO7us4iYP5QcgZZPUSOw==" spinCount="100000" sheet="1" objects="1" scenarios="1"/>
  <mergeCells count="2">
    <mergeCell ref="B3:D4"/>
    <mergeCell ref="B34:D34"/>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3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31"/>
      <c r="D2" s="1"/>
      <c r="E2" s="1"/>
    </row>
    <row r="3" spans="1:5" ht="15" customHeight="1" x14ac:dyDescent="0.25">
      <c r="A3" s="1"/>
      <c r="B3" s="95" t="s">
        <v>53</v>
      </c>
      <c r="C3" s="95"/>
      <c r="D3" s="95"/>
      <c r="E3" s="1"/>
    </row>
    <row r="4" spans="1:5" ht="15" customHeight="1" x14ac:dyDescent="0.25">
      <c r="A4" s="1"/>
      <c r="B4" s="95"/>
      <c r="C4" s="95"/>
      <c r="D4" s="95"/>
      <c r="E4" s="1"/>
    </row>
    <row r="5" spans="1:5" ht="15" customHeight="1" x14ac:dyDescent="0.25">
      <c r="A5" s="1"/>
      <c r="B5" s="95"/>
      <c r="C5" s="95"/>
      <c r="D5" s="95"/>
      <c r="E5" s="1"/>
    </row>
    <row r="6" spans="1:5" ht="15" customHeight="1" x14ac:dyDescent="0.25">
      <c r="A6" s="1"/>
      <c r="B6" s="67"/>
      <c r="C6" s="67"/>
      <c r="D6" s="67"/>
      <c r="E6" s="1"/>
    </row>
    <row r="7" spans="1:5" x14ac:dyDescent="0.25">
      <c r="A7" s="1"/>
      <c r="B7" s="1"/>
      <c r="C7" s="31"/>
      <c r="D7" s="1"/>
      <c r="E7" s="1"/>
    </row>
    <row r="8" spans="1:5" x14ac:dyDescent="0.25">
      <c r="A8" s="1"/>
      <c r="B8" s="97" t="s">
        <v>75</v>
      </c>
      <c r="C8" s="98"/>
      <c r="D8" s="99"/>
      <c r="E8" s="1"/>
    </row>
    <row r="9" spans="1:5" x14ac:dyDescent="0.25">
      <c r="A9" s="1"/>
      <c r="B9" s="54" t="s">
        <v>166</v>
      </c>
      <c r="C9" s="22">
        <v>11144209.917598957</v>
      </c>
      <c r="D9" s="14" t="s">
        <v>3</v>
      </c>
      <c r="E9" s="1"/>
    </row>
    <row r="10" spans="1:5" x14ac:dyDescent="0.25">
      <c r="A10" s="1"/>
      <c r="B10" s="54" t="s">
        <v>110</v>
      </c>
      <c r="C10" s="22">
        <f>('Fane 3. Omkostninger i ØR2024'!C10+'Fane 3. Omkostninger i ØR2024'!C12+'Fane 3. Omkostninger i ØR2024'!C14)*(1+'Fane 13. Nøgletal'!C10)</f>
        <v>1322982.6995212354</v>
      </c>
      <c r="D10" s="14" t="s">
        <v>3</v>
      </c>
      <c r="E10" s="1"/>
    </row>
    <row r="11" spans="1:5" x14ac:dyDescent="0.25">
      <c r="A11" s="1"/>
      <c r="B11" s="54" t="s">
        <v>81</v>
      </c>
      <c r="C11" s="22">
        <f>C9*'Fane 13. Nøgletal'!C23+C10*'Fane 13. Nøgletal'!C23</f>
        <v>249343.85234240384</v>
      </c>
      <c r="D11" s="14" t="s">
        <v>3</v>
      </c>
      <c r="E11" s="1"/>
    </row>
    <row r="12" spans="1:5" x14ac:dyDescent="0.25">
      <c r="A12" s="1"/>
      <c r="B12" s="50"/>
      <c r="C12" s="30"/>
      <c r="D12" s="19"/>
      <c r="E12" s="1"/>
    </row>
    <row r="13" spans="1:5" x14ac:dyDescent="0.25">
      <c r="A13" s="1"/>
      <c r="B13" s="1"/>
      <c r="C13" s="31"/>
      <c r="D13" s="1"/>
      <c r="E13" s="1"/>
    </row>
    <row r="14" spans="1:5" x14ac:dyDescent="0.25">
      <c r="A14" s="1"/>
      <c r="B14" s="97" t="s">
        <v>152</v>
      </c>
      <c r="C14" s="98"/>
      <c r="D14" s="99"/>
      <c r="E14" s="1"/>
    </row>
    <row r="15" spans="1:5" x14ac:dyDescent="0.25">
      <c r="A15" s="1"/>
      <c r="B15" s="54" t="s">
        <v>167</v>
      </c>
      <c r="C15" s="22">
        <f>(C9+C10-C11)*(1+'Fane 13. Nøgletal'!C11)</f>
        <v>13027892.137882557</v>
      </c>
      <c r="D15" s="14" t="s">
        <v>3</v>
      </c>
      <c r="E15" s="1"/>
    </row>
    <row r="16" spans="1:5" x14ac:dyDescent="0.25">
      <c r="A16" s="1"/>
      <c r="B16" s="54" t="s">
        <v>153</v>
      </c>
      <c r="C16" s="22">
        <f>('Fane 2.1. Økonomisk ramme 2025'!C10+'Fane 2.1. Økonomisk ramme 2025'!C12+'Fane 2.1. Økonomisk ramme 2025'!C14)*(1+'Fane 13. Nøgletal'!C11)</f>
        <v>50079.162335362984</v>
      </c>
      <c r="D16" s="14" t="s">
        <v>3</v>
      </c>
      <c r="E16" s="1"/>
    </row>
    <row r="17" spans="1:5" x14ac:dyDescent="0.25">
      <c r="A17" s="1"/>
      <c r="B17" s="54" t="s">
        <v>154</v>
      </c>
      <c r="C17" s="22">
        <f>(C15+C16)*'Fane 13. Nøgletal'!C23</f>
        <v>261559.42600435839</v>
      </c>
      <c r="D17" s="14" t="s">
        <v>3</v>
      </c>
      <c r="E17" s="1"/>
    </row>
    <row r="18" spans="1:5" x14ac:dyDescent="0.25">
      <c r="A18" s="1"/>
      <c r="B18" s="50"/>
      <c r="C18" s="30"/>
      <c r="D18" s="19"/>
      <c r="E18" s="1"/>
    </row>
    <row r="19" spans="1:5" x14ac:dyDescent="0.25">
      <c r="A19" s="1"/>
      <c r="B19" s="1"/>
      <c r="C19" s="31"/>
      <c r="D19" s="1"/>
      <c r="E19" s="1"/>
    </row>
    <row r="20" spans="1:5" x14ac:dyDescent="0.25">
      <c r="A20" s="1"/>
      <c r="B20" s="97" t="s">
        <v>169</v>
      </c>
      <c r="C20" s="98"/>
      <c r="D20" s="99"/>
      <c r="E20" s="1"/>
    </row>
    <row r="21" spans="1:5" x14ac:dyDescent="0.25">
      <c r="A21" s="1"/>
      <c r="B21" s="54" t="s">
        <v>168</v>
      </c>
      <c r="C21" s="47">
        <f>(C15+C16-C17)*(1+'Fane 13. Nøgletal'!C11)</f>
        <v>13666139.981473921</v>
      </c>
      <c r="D21" s="14" t="s">
        <v>3</v>
      </c>
      <c r="E21" s="1"/>
    </row>
    <row r="22" spans="1:5" x14ac:dyDescent="0.25">
      <c r="A22" s="1"/>
      <c r="B22" s="54" t="s">
        <v>170</v>
      </c>
      <c r="C22" s="47">
        <f>(C21)*'Fane 13. Nøgletal'!C23</f>
        <v>273322.79962947842</v>
      </c>
      <c r="D22" s="14" t="s">
        <v>3</v>
      </c>
      <c r="E22" s="1"/>
    </row>
    <row r="23" spans="1:5" x14ac:dyDescent="0.25">
      <c r="A23" s="1"/>
      <c r="B23" s="50"/>
      <c r="C23" s="30"/>
      <c r="D23" s="19"/>
      <c r="E23" s="1"/>
    </row>
    <row r="24" spans="1:5" x14ac:dyDescent="0.25">
      <c r="A24" s="1"/>
      <c r="B24" s="1"/>
      <c r="C24" s="31"/>
      <c r="D24" s="1"/>
      <c r="E24" s="1"/>
    </row>
    <row r="25" spans="1:5" x14ac:dyDescent="0.25">
      <c r="A25" s="1"/>
      <c r="B25" s="97" t="s">
        <v>116</v>
      </c>
      <c r="C25" s="98"/>
      <c r="D25" s="99"/>
      <c r="E25" s="1"/>
    </row>
    <row r="26" spans="1:5" x14ac:dyDescent="0.25">
      <c r="A26" s="1"/>
      <c r="B26" s="54" t="s">
        <v>117</v>
      </c>
      <c r="C26" s="47">
        <f>(C21-C22)*(1+'Fane 13. Nøgletal'!C11)</f>
        <v>14280760.961000729</v>
      </c>
      <c r="D26" s="14" t="s">
        <v>3</v>
      </c>
      <c r="E26" s="1"/>
    </row>
    <row r="27" spans="1:5" x14ac:dyDescent="0.25">
      <c r="A27" s="1"/>
      <c r="B27" s="54" t="s">
        <v>118</v>
      </c>
      <c r="C27" s="47">
        <f>(C26)*'Fane 13. Nøgletal'!C23</f>
        <v>285615.21922001458</v>
      </c>
      <c r="D27" s="14" t="s">
        <v>3</v>
      </c>
      <c r="E27" s="1"/>
    </row>
    <row r="28" spans="1:5" x14ac:dyDescent="0.25">
      <c r="A28" s="1"/>
      <c r="B28" s="50"/>
      <c r="C28" s="41"/>
      <c r="D28" s="19"/>
      <c r="E28" s="1"/>
    </row>
    <row r="29" spans="1:5" x14ac:dyDescent="0.25">
      <c r="A29" s="1"/>
      <c r="B29" s="1"/>
      <c r="C29" s="31"/>
      <c r="D29" s="1"/>
      <c r="E29" s="1"/>
    </row>
    <row r="30" spans="1:5" x14ac:dyDescent="0.25">
      <c r="A30" s="1"/>
      <c r="B30" s="97" t="s">
        <v>135</v>
      </c>
      <c r="C30" s="98"/>
      <c r="D30" s="99"/>
      <c r="E30" s="1"/>
    </row>
    <row r="31" spans="1:5" x14ac:dyDescent="0.25">
      <c r="A31" s="1"/>
      <c r="B31" s="54" t="s">
        <v>136</v>
      </c>
      <c r="C31" s="47">
        <f>(C26-C27)*(1+'Fane 13. Nøgletal'!C11)</f>
        <v>14923023.904460777</v>
      </c>
      <c r="D31" s="14" t="s">
        <v>3</v>
      </c>
      <c r="E31" s="1"/>
    </row>
    <row r="32" spans="1:5" x14ac:dyDescent="0.25">
      <c r="A32" s="1"/>
      <c r="B32" s="54" t="s">
        <v>137</v>
      </c>
      <c r="C32" s="47">
        <f>(C31)*'Fane 13. Nøgletal'!C23</f>
        <v>298460.47808921552</v>
      </c>
      <c r="D32" s="14" t="s">
        <v>3</v>
      </c>
      <c r="E32" s="1"/>
    </row>
    <row r="33" spans="1:5" x14ac:dyDescent="0.25">
      <c r="A33" s="1"/>
      <c r="B33" s="50"/>
      <c r="C33" s="41"/>
      <c r="D33" s="19"/>
      <c r="E33" s="1"/>
    </row>
    <row r="34" spans="1:5" x14ac:dyDescent="0.25">
      <c r="A34" s="1"/>
      <c r="B34" s="1"/>
      <c r="C34" s="31"/>
      <c r="D34" s="1"/>
      <c r="E34" s="1"/>
    </row>
    <row r="35" spans="1:5" x14ac:dyDescent="0.25">
      <c r="A35" s="1"/>
      <c r="B35" s="1"/>
      <c r="C35" s="31"/>
      <c r="D35" s="1"/>
      <c r="E35" s="1"/>
    </row>
    <row r="36" spans="1:5" x14ac:dyDescent="0.25">
      <c r="A36" s="1"/>
      <c r="B36" s="1"/>
      <c r="C36" s="31"/>
      <c r="D36" s="1"/>
      <c r="E36" s="1"/>
    </row>
    <row r="37" spans="1:5" x14ac:dyDescent="0.25">
      <c r="A37" s="1"/>
      <c r="B37" s="1"/>
      <c r="C37" s="31"/>
      <c r="D37" s="1"/>
      <c r="E37" s="1"/>
    </row>
    <row r="38" spans="1:5" x14ac:dyDescent="0.25">
      <c r="A38" s="1"/>
      <c r="B38" s="1"/>
      <c r="C38" s="31"/>
      <c r="D38" s="1"/>
      <c r="E38" s="1"/>
    </row>
    <row r="39" spans="1:5" x14ac:dyDescent="0.25">
      <c r="A39" s="1"/>
      <c r="B39" s="1"/>
      <c r="C39" s="31"/>
      <c r="D39" s="1"/>
      <c r="E39" s="1"/>
    </row>
    <row r="40" spans="1:5" x14ac:dyDescent="0.25">
      <c r="A40" s="1"/>
      <c r="B40" s="1"/>
      <c r="C40" s="31"/>
      <c r="D40" s="1"/>
      <c r="E40" s="1"/>
    </row>
    <row r="41" spans="1:5" x14ac:dyDescent="0.25">
      <c r="A41" s="1"/>
      <c r="B41" s="1"/>
      <c r="C41" s="31"/>
      <c r="D41" s="1"/>
      <c r="E41" s="1"/>
    </row>
    <row r="42" spans="1:5" x14ac:dyDescent="0.25">
      <c r="A42" s="1"/>
      <c r="B42" s="1"/>
      <c r="C42" s="31"/>
      <c r="D42" s="1"/>
      <c r="E42" s="1"/>
    </row>
    <row r="43" spans="1:5" x14ac:dyDescent="0.25">
      <c r="A43" s="1"/>
      <c r="B43" s="1"/>
      <c r="C43" s="31"/>
      <c r="D43" s="1"/>
      <c r="E43" s="1"/>
    </row>
    <row r="44" spans="1:5" x14ac:dyDescent="0.25">
      <c r="A44" s="1"/>
      <c r="B44" s="1"/>
      <c r="C44" s="31"/>
      <c r="D44" s="1"/>
      <c r="E44" s="1"/>
    </row>
    <row r="45" spans="1:5" x14ac:dyDescent="0.25">
      <c r="A45" s="1"/>
      <c r="B45" s="1"/>
      <c r="C45" s="31"/>
      <c r="D45" s="1"/>
      <c r="E45" s="1"/>
    </row>
    <row r="46" spans="1:5" x14ac:dyDescent="0.25">
      <c r="A46" s="1"/>
      <c r="B46" s="1"/>
      <c r="C46" s="31"/>
      <c r="D46" s="1"/>
      <c r="E46" s="1"/>
    </row>
    <row r="47" spans="1:5" x14ac:dyDescent="0.25">
      <c r="A47" s="1"/>
      <c r="B47" s="1"/>
      <c r="C47" s="31"/>
      <c r="D47" s="1"/>
      <c r="E47" s="1"/>
    </row>
    <row r="48" spans="1:5" x14ac:dyDescent="0.25">
      <c r="A48" s="1"/>
      <c r="B48" s="1"/>
      <c r="C48" s="31"/>
      <c r="D48" s="1"/>
      <c r="E48" s="1"/>
    </row>
    <row r="49" spans="1:5" x14ac:dyDescent="0.25">
      <c r="A49" s="1"/>
      <c r="B49" s="1"/>
      <c r="C49" s="31"/>
      <c r="D49" s="1"/>
      <c r="E49" s="1"/>
    </row>
    <row r="50" spans="1:5" x14ac:dyDescent="0.25">
      <c r="A50" s="1"/>
      <c r="B50" s="1"/>
      <c r="C50" s="31"/>
      <c r="D50" s="1"/>
      <c r="E50" s="1"/>
    </row>
  </sheetData>
  <sheetProtection algorithmName="SHA-512" hashValue="iUhc3ygdtLSR7jQAZsJihxeRYdHvPuXxkPnqliIoBeSN8BafEvyL2XQI8TWXueNOEqDEDRp0BoayrmVr6cCKOg==" saltValue="Sl1X3VLKgScGPLtInfJVfQ==" spinCount="100000" sheet="1" objects="1" scenarios="1"/>
  <mergeCells count="6">
    <mergeCell ref="B3:D5"/>
    <mergeCell ref="B25:D25"/>
    <mergeCell ref="B14:D14"/>
    <mergeCell ref="B20:D20"/>
    <mergeCell ref="B30:D30"/>
    <mergeCell ref="B8:D8"/>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E50"/>
  <sheetViews>
    <sheetView showGridLines="0" zoomScaleNormal="100" workbookViewId="0"/>
  </sheetViews>
  <sheetFormatPr defaultColWidth="0" defaultRowHeight="15" zeroHeight="1" x14ac:dyDescent="0.25"/>
  <cols>
    <col min="1" max="1" width="5.28515625" style="2" customWidth="1"/>
    <col min="2" max="2" width="58" style="2" customWidth="1"/>
    <col min="3" max="3" width="11.710937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x14ac:dyDescent="0.25">
      <c r="A3" s="1"/>
      <c r="B3" s="100" t="s">
        <v>54</v>
      </c>
      <c r="C3" s="101"/>
      <c r="D3" s="101"/>
      <c r="E3" s="1"/>
    </row>
    <row r="4" spans="1:5" ht="15" customHeight="1" x14ac:dyDescent="0.25">
      <c r="A4" s="1"/>
      <c r="B4" s="101"/>
      <c r="C4" s="101"/>
      <c r="D4" s="101"/>
      <c r="E4" s="1"/>
    </row>
    <row r="5" spans="1:5" ht="15" customHeight="1" x14ac:dyDescent="0.25">
      <c r="A5" s="1"/>
      <c r="B5" s="101"/>
      <c r="C5" s="101"/>
      <c r="D5" s="101"/>
      <c r="E5" s="1"/>
    </row>
    <row r="6" spans="1:5" ht="15" customHeight="1" x14ac:dyDescent="0.25">
      <c r="A6" s="1"/>
      <c r="B6" s="1"/>
      <c r="C6" s="1"/>
      <c r="D6" s="1"/>
      <c r="E6" s="1"/>
    </row>
    <row r="7" spans="1:5" ht="15" customHeight="1" x14ac:dyDescent="0.25">
      <c r="A7" s="1"/>
      <c r="B7" s="1"/>
      <c r="C7" s="1"/>
      <c r="D7" s="1"/>
      <c r="E7" s="1"/>
    </row>
    <row r="8" spans="1:5" x14ac:dyDescent="0.25">
      <c r="A8" s="1"/>
      <c r="B8" s="97" t="s">
        <v>76</v>
      </c>
      <c r="C8" s="98"/>
      <c r="D8" s="99"/>
      <c r="E8" s="1"/>
    </row>
    <row r="9" spans="1:5" x14ac:dyDescent="0.25">
      <c r="A9" s="1"/>
      <c r="B9" s="54" t="s">
        <v>161</v>
      </c>
      <c r="C9" s="47">
        <v>17507455.247986458</v>
      </c>
      <c r="D9" s="14" t="s">
        <v>3</v>
      </c>
      <c r="E9" s="1"/>
    </row>
    <row r="10" spans="1:5" x14ac:dyDescent="0.25">
      <c r="A10" s="1"/>
      <c r="B10" s="54" t="s">
        <v>113</v>
      </c>
      <c r="C10" s="47">
        <f>('Fane 3. Omkostninger i ØR2024'!C11+'Fane 3. Omkostninger i ØR2024'!C13+'Fane 3. Omkostninger i ØR2024'!C15)*(1+'Fane 13. Nøgletal'!C10)</f>
        <v>2140485.5899505345</v>
      </c>
      <c r="D10" s="14" t="s">
        <v>3</v>
      </c>
      <c r="E10" s="1"/>
    </row>
    <row r="11" spans="1:5" x14ac:dyDescent="0.25">
      <c r="A11" s="1"/>
      <c r="B11" s="54" t="s">
        <v>114</v>
      </c>
      <c r="C11" s="47">
        <f>(C9)*'Fane 13. Nøgletal'!C16+C10*'Fane 13. Nøgletal'!C17</f>
        <v>0</v>
      </c>
      <c r="D11" s="14" t="s">
        <v>3</v>
      </c>
      <c r="E11" s="1"/>
    </row>
    <row r="12" spans="1:5" x14ac:dyDescent="0.25">
      <c r="A12" s="1"/>
      <c r="B12" s="50"/>
      <c r="C12" s="51"/>
      <c r="D12" s="19"/>
      <c r="E12" s="1"/>
    </row>
    <row r="13" spans="1:5" x14ac:dyDescent="0.25">
      <c r="A13" s="1"/>
      <c r="B13" s="1"/>
      <c r="C13" s="1"/>
      <c r="D13" s="1"/>
      <c r="E13" s="1"/>
    </row>
    <row r="14" spans="1:5" x14ac:dyDescent="0.25">
      <c r="A14" s="1"/>
      <c r="B14" s="97" t="s">
        <v>155</v>
      </c>
      <c r="C14" s="98"/>
      <c r="D14" s="99"/>
      <c r="E14" s="1"/>
    </row>
    <row r="15" spans="1:5" x14ac:dyDescent="0.25">
      <c r="A15" s="1"/>
      <c r="B15" s="54" t="s">
        <v>162</v>
      </c>
      <c r="C15" s="47">
        <f>(C9+C10-C11)*(1+'Fane 13. Nøgletal'!C11)</f>
        <v>20950599.315492216</v>
      </c>
      <c r="D15" s="14" t="s">
        <v>3</v>
      </c>
      <c r="E15" s="1"/>
    </row>
    <row r="16" spans="1:5" x14ac:dyDescent="0.25">
      <c r="A16" s="1"/>
      <c r="B16" s="54" t="s">
        <v>156</v>
      </c>
      <c r="C16" s="47">
        <f>('Fane 2.1. Økonomisk ramme 2025'!C11+'Fane 2.1. Økonomisk ramme 2025'!C13+'Fane 2.1. Økonomisk ramme 2025'!C15)*(1+'Fane 13. Nøgletal'!C11)</f>
        <v>256020.98064342182</v>
      </c>
      <c r="D16" s="14" t="s">
        <v>3</v>
      </c>
      <c r="E16" s="1"/>
    </row>
    <row r="17" spans="1:5" x14ac:dyDescent="0.25">
      <c r="A17" s="1"/>
      <c r="B17" s="54" t="s">
        <v>157</v>
      </c>
      <c r="C17" s="47">
        <f>(C15+C16)*'Fane 13. Nøgletal'!C18</f>
        <v>0</v>
      </c>
      <c r="D17" s="14" t="s">
        <v>3</v>
      </c>
      <c r="E17" s="1"/>
    </row>
    <row r="18" spans="1:5" x14ac:dyDescent="0.25">
      <c r="A18" s="1"/>
      <c r="B18" s="50"/>
      <c r="C18" s="51"/>
      <c r="D18" s="19"/>
      <c r="E18" s="1"/>
    </row>
    <row r="19" spans="1:5" x14ac:dyDescent="0.25">
      <c r="A19" s="1"/>
      <c r="B19" s="1"/>
      <c r="C19" s="1"/>
      <c r="D19" s="1"/>
      <c r="E19" s="1"/>
    </row>
    <row r="20" spans="1:5" x14ac:dyDescent="0.25">
      <c r="A20" s="1"/>
      <c r="B20" s="97" t="s">
        <v>165</v>
      </c>
      <c r="C20" s="98"/>
      <c r="D20" s="99"/>
      <c r="E20" s="1"/>
    </row>
    <row r="21" spans="1:5" x14ac:dyDescent="0.25">
      <c r="A21" s="1"/>
      <c r="B21" s="54" t="s">
        <v>163</v>
      </c>
      <c r="C21" s="47">
        <f>(C15+C16-C17)*(1+'Fane 13. Nøgletal'!C11)</f>
        <v>22612619.22176943</v>
      </c>
      <c r="D21" s="14" t="s">
        <v>3</v>
      </c>
      <c r="E21" s="1"/>
    </row>
    <row r="22" spans="1:5" x14ac:dyDescent="0.25">
      <c r="A22" s="1"/>
      <c r="B22" s="54" t="s">
        <v>164</v>
      </c>
      <c r="C22" s="47">
        <f>(C21)*'Fane 13. Nøgletal'!C18</f>
        <v>0</v>
      </c>
      <c r="D22" s="14" t="s">
        <v>3</v>
      </c>
      <c r="E22" s="1"/>
    </row>
    <row r="23" spans="1:5" x14ac:dyDescent="0.25">
      <c r="A23" s="1"/>
      <c r="B23" s="50"/>
      <c r="C23" s="51"/>
      <c r="D23" s="19"/>
      <c r="E23" s="1"/>
    </row>
    <row r="24" spans="1:5" x14ac:dyDescent="0.25">
      <c r="A24" s="1"/>
      <c r="B24" s="1"/>
      <c r="C24" s="1"/>
      <c r="D24" s="1"/>
      <c r="E24" s="1"/>
    </row>
    <row r="25" spans="1:5" x14ac:dyDescent="0.25">
      <c r="A25" s="1"/>
      <c r="B25" s="97" t="s">
        <v>119</v>
      </c>
      <c r="C25" s="98"/>
      <c r="D25" s="99"/>
      <c r="E25" s="1"/>
    </row>
    <row r="26" spans="1:5" x14ac:dyDescent="0.25">
      <c r="A26" s="1"/>
      <c r="B26" s="54" t="s">
        <v>120</v>
      </c>
      <c r="C26" s="47">
        <f>(C21-C22)*(1+'Fane 13. Nøgletal'!C11)</f>
        <v>24111835.876172744</v>
      </c>
      <c r="D26" s="14" t="s">
        <v>3</v>
      </c>
      <c r="E26" s="1"/>
    </row>
    <row r="27" spans="1:5" x14ac:dyDescent="0.25">
      <c r="A27" s="1"/>
      <c r="B27" s="54" t="s">
        <v>121</v>
      </c>
      <c r="C27" s="47">
        <f>(C26)*'Fane 13. Nøgletal'!C18</f>
        <v>0</v>
      </c>
      <c r="D27" s="14" t="s">
        <v>3</v>
      </c>
      <c r="E27" s="1"/>
    </row>
    <row r="28" spans="1:5" x14ac:dyDescent="0.25">
      <c r="A28" s="1"/>
      <c r="B28" s="50"/>
      <c r="C28" s="51"/>
      <c r="D28" s="19"/>
      <c r="E28" s="1"/>
    </row>
    <row r="29" spans="1:5" x14ac:dyDescent="0.25">
      <c r="A29" s="1"/>
      <c r="B29" s="1"/>
      <c r="C29" s="1"/>
      <c r="D29" s="1"/>
      <c r="E29" s="1"/>
    </row>
    <row r="30" spans="1:5" x14ac:dyDescent="0.25">
      <c r="A30" s="1"/>
      <c r="B30" s="97" t="s">
        <v>138</v>
      </c>
      <c r="C30" s="98"/>
      <c r="D30" s="99"/>
      <c r="E30" s="1"/>
    </row>
    <row r="31" spans="1:5" x14ac:dyDescent="0.25">
      <c r="A31" s="1"/>
      <c r="B31" s="54" t="s">
        <v>139</v>
      </c>
      <c r="C31" s="47">
        <f>(C26-C27)*(1+'Fane 13. Nøgletal'!C11)</f>
        <v>25710450.594762996</v>
      </c>
      <c r="D31" s="14" t="s">
        <v>3</v>
      </c>
      <c r="E31" s="1"/>
    </row>
    <row r="32" spans="1:5" x14ac:dyDescent="0.25">
      <c r="A32" s="1"/>
      <c r="B32" s="54" t="s">
        <v>140</v>
      </c>
      <c r="C32" s="47">
        <f>(C31)*'Fane 13. Nøgletal'!C18</f>
        <v>0</v>
      </c>
      <c r="D32" s="14" t="s">
        <v>3</v>
      </c>
      <c r="E32" s="1"/>
    </row>
    <row r="33" spans="1:5" x14ac:dyDescent="0.25">
      <c r="A33" s="1"/>
      <c r="B33" s="50"/>
      <c r="C33" s="51"/>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w3uaENZvmXIawgvDPJqqxBhl1SFmbG6AzBQXjpcxs0QRx4JJJ0hl84Ux2nbeJ57/Ba/GtHuzU46P+de3aG129Q==" saltValue="RY5vCu2QxhV99+L0MND1/g==" spinCount="100000" sheet="1" objects="1" scenarios="1"/>
  <mergeCells count="6">
    <mergeCell ref="B3:D5"/>
    <mergeCell ref="B14:D14"/>
    <mergeCell ref="B8:D8"/>
    <mergeCell ref="B30:D30"/>
    <mergeCell ref="B25:D25"/>
    <mergeCell ref="B20:D20"/>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D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93" t="s">
        <v>41</v>
      </c>
      <c r="C3" s="93"/>
      <c r="D3" s="1"/>
    </row>
    <row r="4" spans="1:4" ht="15" customHeight="1" x14ac:dyDescent="0.25">
      <c r="A4" s="1"/>
      <c r="B4" s="93"/>
      <c r="C4" s="93"/>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97" t="s">
        <v>9</v>
      </c>
      <c r="C8" s="99"/>
      <c r="D8" s="1"/>
    </row>
    <row r="9" spans="1:4" x14ac:dyDescent="0.25">
      <c r="A9" s="1"/>
      <c r="B9" s="54" t="s">
        <v>159</v>
      </c>
      <c r="C9" s="43">
        <v>8.3939306862768365E-3</v>
      </c>
      <c r="D9" s="1"/>
    </row>
    <row r="10" spans="1:4" x14ac:dyDescent="0.25">
      <c r="A10" s="1"/>
      <c r="B10" s="50"/>
      <c r="C10" s="19"/>
      <c r="D10" s="1"/>
    </row>
    <row r="11" spans="1:4" ht="15" customHeight="1" x14ac:dyDescent="0.25">
      <c r="A11" s="1"/>
      <c r="B11" s="102" t="s">
        <v>160</v>
      </c>
      <c r="C11" s="103"/>
      <c r="D11" s="1"/>
    </row>
    <row r="12" spans="1:4" ht="13.5" customHeight="1" x14ac:dyDescent="0.25">
      <c r="A12" s="1"/>
      <c r="B12" s="104"/>
      <c r="C12" s="105"/>
      <c r="D12" s="1"/>
    </row>
    <row r="13" spans="1:4" x14ac:dyDescent="0.25">
      <c r="A13" s="1"/>
      <c r="B13" s="1"/>
      <c r="C13" s="1"/>
      <c r="D13" s="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ht="15" customHeight="1"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sheetData>
  <sheetProtection algorithmName="SHA-512" hashValue="HuhKrFuss6VZ6tSDq/5AgSYN4Z5bdBO6bCVijD3i5wWQ13hUHBighOevuDyuNm/yy6sLl6L5B8Bj5APTOta8Iw==" saltValue="IDwxu4SmbJyfnuTvlODYcQ==" spinCount="100000" sheet="1" objects="1" scenarios="1"/>
  <mergeCells count="3">
    <mergeCell ref="B3:C4"/>
    <mergeCell ref="B8:C8"/>
    <mergeCell ref="B11:C12"/>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21</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Anlægsprojekter (§ 19) </vt:lpstr>
      <vt:lpstr>Fane 10.1. Varige tillæg</vt:lpstr>
      <vt:lpstr>Fane 10.2. Engangstillæg</vt:lpstr>
      <vt:lpstr>Fane 11. Tilknyttet virksomhed</vt:lpstr>
      <vt:lpstr>Fane 12. Bortfald</vt:lpstr>
      <vt:lpstr>Fane 13. Nøgletal</vt:lpstr>
      <vt:lpstr>Fane21</vt:lpstr>
      <vt:lpstr>Fane21total</vt:lpstr>
      <vt:lpstr>Fane22</vt:lpstr>
      <vt:lpstr>Fane22total</vt:lpstr>
      <vt:lpstr>Fane23</vt:lpstr>
      <vt:lpstr>Fane23total</vt:lpstr>
      <vt:lpstr>Fane24</vt:lpstr>
      <vt:lpstr>Fane24total</vt:lpstr>
      <vt:lpstr>Fane3total</vt:lpstr>
      <vt:lpstr>Tabel_Fane_11</vt:lpstr>
      <vt:lpstr>Tabel_Fane_12</vt:lpstr>
      <vt:lpstr>Tabel_Fane_2_1</vt:lpstr>
      <vt:lpstr>Tabel_Fane_2_2</vt:lpstr>
      <vt:lpstr>Tabel_Fane_2_3</vt:lpstr>
      <vt:lpstr>Tabel_Fane_2_4</vt:lpstr>
      <vt:lpstr>Tabel_Fane_3</vt:lpstr>
      <vt:lpstr>ØR24total</vt:lpstr>
      <vt:lpstr>ØR25total</vt:lpstr>
      <vt:lpstr>ØR26total</vt:lpstr>
      <vt:lpstr>ØR27total</vt:lpstr>
      <vt:lpstr>ØR28total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2024-09-11T11:28:18Z</dcterms:modified>
</cp:coreProperties>
</file>