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enne_projektmappe" defaultThemeVersion="124226"/>
  <mc:AlternateContent xmlns:mc="http://schemas.openxmlformats.org/markup-compatibility/2006">
    <mc:Choice Requires="x15">
      <x15ac:absPath xmlns:x15ac="http://schemas.microsoft.com/office/spreadsheetml/2010/11/ac" url="E:\VAND\Sagsbehandling\Drikkevand\Vandfællesskabet Nordvestsjælland (V202)\ØR2024\"/>
    </mc:Choice>
  </mc:AlternateContent>
  <xr:revisionPtr revIDLastSave="0" documentId="13_ncr:1_{9524EC87-2A95-48B5-9108-8AE0649F9E9D}"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29" i="2" l="1"/>
  <c r="E23" i="41"/>
  <c r="E31" i="41" l="1"/>
  <c r="E27" i="41"/>
  <c r="C8" i="2"/>
  <c r="E33" i="41" l="1"/>
  <c r="C17" i="22" s="1"/>
  <c r="C17" i="15"/>
  <c r="C13" i="29"/>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<sst xmlns="http://schemas.openxmlformats.org/spreadsheetml/2006/main" count="545" uniqueCount="258">
  <si>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</si>
  <si>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</si>
  <si>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</si>
  <si>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</si>
  <si>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</si>
  <si>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</si>
  <si>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</si>
  <si>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</si>
  <si>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</si>
  <si>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</si>
  <si>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</si>
  <si>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</si>
  <si>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</si>
  <si>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</si>
  <si>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</si>
  <si>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</si>
  <si>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</si>
  <si>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</si>
  <si>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</si>
  <si>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</si>
  <si>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</si>
  <si>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</si>
  <si>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</si>
  <si>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</si>
  <si>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</si>
  <si>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</si>
  <si>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</si>
  <si>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</si>
  <si>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</si>
  <si>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</si>
  <si>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</si>
  <si>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</si>
  <si>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</si>
  <si>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</si>
  <si>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</si>
  <si>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</si>
  <si>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</si>
  <si>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</si>
  <si>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</si>
  <si>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</si>
  <si>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</si>
  <si>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</si>
  <si>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</si>
  <si>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</si>
  <si>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</si>
  <si>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</si>
  <si>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</si>
  <si>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</si>
  <si>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</si>
  <si>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</si>
  <si>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</si>
  <si>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</si>
  <si>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</si>
  <si>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</si>
  <si>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</si>
  <si>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</si>
  <si>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</si>
  <si>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</si>
  <si>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</si>
  <si>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</si>
  <si>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</si>
  <si>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</si>
  <si>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</si>
  <si>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</si>
  <si>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</si>
  <si>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</si>
  <si>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</si>
  <si>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</si>
  <si>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</si>
  <si>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</si>
  <si>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</si>
  <si>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</si>
  <si>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</si>
  <si>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</si>
  <si>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</si>
  <si>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</si>
  <si>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</si>
  <si>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</si>
  <si>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</si>
  <si>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</si>
  <si>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</si>
  <si>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</si>
  <si>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</si>
  <si>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</si>
  <si>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</si>
  <si>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</si>
  <si>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</si>
  <si>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</si>
  <si>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</si>
  <si>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</si>
  <si>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</si>
  <si>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</si>
  <si>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</si>
  <si>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</si>
  <si>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</si>
  <si>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</si>
  <si>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</si>
  <si>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</si>
  <si>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</si>
  <si>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</si>
  <si>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</si>
  <si>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</si>
  <si>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</si>
  <si>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</si>
  <si>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</si>
  <si>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</si>
  <si>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</si>
  <si>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</si>
  <si>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</si>
  <si>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</si>
  <si>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</si>
  <si>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</si>
  <si>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</si>
  <si>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</si>
  <si>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</si>
  <si>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</si>
  <si>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</si>
  <si>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</si>
  <si>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</si>
  <si>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</si>
  <si>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</si>
  <si>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</si>
  <si>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</si>
  <si>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</si>
  <si>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</si>
  <si>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</si>
  <si>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</si>
  <si>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</si>
  <si>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</si>
  <si>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</si>
  <si>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</si>
  <si>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</si>
  <si>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</si>
  <si>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</si>
  <si>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</si>
  <si>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</si>
  <si>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</si>
  <si>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</si>
  <si>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</si>
  <si>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</si>
  <si>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</si>
  <si>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</si>
  <si>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</si>
  <si>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</si>
  <si>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</si>
  <si>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</si>
  <si>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</si>
  <si>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</si>
  <si>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</si>
  <si>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</si>
  <si>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</si>
  <si>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</si>
  <si>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</si>
  <si>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</si>
  <si>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</si>
  <si>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</si>
  <si>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</si>
  <si>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</si>
  <si>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</si>
  <si>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</si>
  <si>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</si>
  <si>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</si>
  <si>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</si>
  <si>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</si>
  <si>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</si>
  <si>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</si>
  <si>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</si>
  <si>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</si>
  <si>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</si>
  <si>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</si>
  <si>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</si>
  <si>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</si>
  <si>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</si>
  <si>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</si>
  <si>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</si>
  <si>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</si>
  <si>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</si>
  <si>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</si>
  <si>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</si>
  <si>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</si>
  <si>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</si>
  <si>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</si>
  <si>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</si>
  <si>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</si>
  <si>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</si>
  <si>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</si>
  <si>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</si>
  <si>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</si>
  <si>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</si>
  <si>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</si>
  <si>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</si>
  <si>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</si>
  <si>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</si>
  <si>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</si>
  <si>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</si>
  <si>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</si>
  <si>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</si>
  <si>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</si>
  <si>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</si>
  <si>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</si>
  <si>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</si>
  <si>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</si>
  <si>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</si>
  <si>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</si>
  <si>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</si>
  <si>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</si>
  <si>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</si>
  <si>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</si>
  <si>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</si>
  <si>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</si>
  <si>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</si>
  <si>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</si>
  <si>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</si>
  <si>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</si>
  <si>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</si>
  <si>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</si>
  <si>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</si>
  <si>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</si>
  <si>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</si>
  <si>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</si>
  <si>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</si>
  <si>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</si>
  <si>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</si>
  <si>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</si>
  <si>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</si>
  <si>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</si>
  <si>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</si>
  <si>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</si>
  <si>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</si>
  <si>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</si>
  <si>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</si>
  <si>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</si>
  <si>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</si>
  <si>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</si>
  <si>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</si>
  <si>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</si>
  <si>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</si>
  <si>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</si>
  <si>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</si>
  <si>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</si>
  <si>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</si>
  <si>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</si>
  <si>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</si>
  <si>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til Forsyningssekretariatet</t>
  </si>
  <si>
    <t>Køb af ydelser og produkter fra andre vandselskaber reguleret af vandsektorloven</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</si>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</sst>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10" fontId="8" fillId="0" borderId="5" xfId="0"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row r="1">
          <cell r="A1" t="str">
            <v>ØR 2024-2027 samt statusmeddelelser</v>
          </cell>
        </row>
      </sheetData>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9" t="s">
        <v>4</v>
      </c>
      <c r="E6" s="79"/>
      <c r="F6" s="79"/>
      <c r="G6" s="79"/>
      <c r="H6" s="3"/>
      <c r="I6" s="1"/>
    </row>
    <row r="7" spans="1:9" ht="15" customHeight="1" x14ac:dyDescent="0.25">
      <c r="A7" s="1"/>
      <c r="B7" s="1"/>
      <c r="C7" s="3"/>
      <c r="D7" s="79"/>
      <c r="E7" s="79"/>
      <c r="F7" s="79"/>
      <c r="G7" s="79"/>
      <c r="H7" s="3"/>
      <c r="I7" s="1"/>
    </row>
    <row r="8" spans="1:9" ht="15.75" x14ac:dyDescent="0.25">
      <c r="A8" s="1"/>
      <c r="B8" s="1"/>
      <c r="C8" s="4"/>
      <c r="D8" s="84" t="s">
        <v>235</v>
      </c>
      <c r="E8" s="84"/>
      <c r="F8" s="84"/>
      <c r="G8" s="8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6" t="s">
        <v>162</v>
      </c>
      <c r="E13" s="77"/>
      <c r="F13" s="77"/>
      <c r="G13" s="78"/>
      <c r="H13" s="1"/>
      <c r="I13" s="1"/>
    </row>
    <row r="14" spans="1:9" x14ac:dyDescent="0.25">
      <c r="A14" s="1"/>
      <c r="B14" s="1"/>
      <c r="C14" s="6" t="s">
        <v>14</v>
      </c>
      <c r="D14" s="76" t="s">
        <v>197</v>
      </c>
      <c r="E14" s="77"/>
      <c r="F14" s="77"/>
      <c r="G14" s="78"/>
      <c r="H14" s="1"/>
      <c r="I14" s="1"/>
    </row>
    <row r="15" spans="1:9" x14ac:dyDescent="0.25">
      <c r="A15" s="1"/>
      <c r="B15" s="1"/>
      <c r="C15" s="6" t="s">
        <v>30</v>
      </c>
      <c r="D15" s="76" t="s">
        <v>141</v>
      </c>
      <c r="E15" s="77"/>
      <c r="F15" s="77"/>
      <c r="G15" s="78"/>
      <c r="H15" s="1"/>
      <c r="I15" s="1"/>
    </row>
    <row r="16" spans="1:9" x14ac:dyDescent="0.25">
      <c r="A16" s="1"/>
      <c r="B16" s="1"/>
      <c r="C16" s="6" t="s">
        <v>31</v>
      </c>
      <c r="D16" s="76" t="s">
        <v>194</v>
      </c>
      <c r="E16" s="77"/>
      <c r="F16" s="77"/>
      <c r="G16" s="78"/>
      <c r="H16" s="1"/>
      <c r="I16" s="1"/>
    </row>
    <row r="17" spans="1:9" x14ac:dyDescent="0.25">
      <c r="A17" s="1"/>
      <c r="B17" s="1"/>
      <c r="C17" s="6" t="s">
        <v>102</v>
      </c>
      <c r="D17" s="76" t="s">
        <v>195</v>
      </c>
      <c r="E17" s="77"/>
      <c r="F17" s="77"/>
      <c r="G17" s="78"/>
      <c r="H17" s="1"/>
      <c r="I17" s="1"/>
    </row>
    <row r="18" spans="1:9" x14ac:dyDescent="0.25">
      <c r="A18" s="1"/>
      <c r="B18" s="1"/>
      <c r="C18" s="6" t="s">
        <v>86</v>
      </c>
      <c r="D18" s="85" t="s">
        <v>79</v>
      </c>
      <c r="E18" s="86"/>
      <c r="F18" s="86"/>
      <c r="G18" s="87"/>
      <c r="H18" s="1"/>
      <c r="I18" s="1"/>
    </row>
    <row r="19" spans="1:9" x14ac:dyDescent="0.25">
      <c r="A19" s="1"/>
      <c r="B19" s="1"/>
      <c r="C19" s="6" t="s">
        <v>87</v>
      </c>
      <c r="D19" s="85" t="s">
        <v>80</v>
      </c>
      <c r="E19" s="86"/>
      <c r="F19" s="86"/>
      <c r="G19" s="87"/>
      <c r="H19" s="1"/>
      <c r="I19" s="1"/>
    </row>
    <row r="20" spans="1:9" x14ac:dyDescent="0.25">
      <c r="A20" s="1"/>
      <c r="B20" s="1"/>
      <c r="C20" s="6" t="s">
        <v>7</v>
      </c>
      <c r="D20" s="85" t="s">
        <v>9</v>
      </c>
      <c r="E20" s="86"/>
      <c r="F20" s="86"/>
      <c r="G20" s="87"/>
      <c r="H20" s="1"/>
      <c r="I20" s="1"/>
    </row>
    <row r="21" spans="1:9" x14ac:dyDescent="0.25">
      <c r="A21" s="1"/>
      <c r="B21" s="1"/>
      <c r="C21" s="6" t="s">
        <v>88</v>
      </c>
      <c r="D21" s="91" t="s">
        <v>11</v>
      </c>
      <c r="E21" s="92"/>
      <c r="F21" s="92"/>
      <c r="G21" s="93"/>
      <c r="H21" s="1"/>
      <c r="I21" s="1"/>
    </row>
    <row r="22" spans="1:9" x14ac:dyDescent="0.25">
      <c r="A22" s="1"/>
      <c r="B22" s="1"/>
      <c r="C22" s="6" t="s">
        <v>73</v>
      </c>
      <c r="D22" s="80" t="s">
        <v>196</v>
      </c>
      <c r="E22" s="81"/>
      <c r="F22" s="81"/>
      <c r="G22" s="82"/>
      <c r="H22" s="1"/>
      <c r="I22" s="1"/>
    </row>
    <row r="23" spans="1:9" x14ac:dyDescent="0.25">
      <c r="A23" s="1"/>
      <c r="B23" s="1"/>
      <c r="C23" s="6" t="s">
        <v>8</v>
      </c>
      <c r="D23" s="80" t="s">
        <v>176</v>
      </c>
      <c r="E23" s="81"/>
      <c r="F23" s="81"/>
      <c r="G23" s="82"/>
      <c r="H23" s="1"/>
      <c r="I23" s="1"/>
    </row>
    <row r="24" spans="1:9" x14ac:dyDescent="0.25">
      <c r="A24" s="1"/>
      <c r="B24" s="1"/>
      <c r="C24" s="6" t="s">
        <v>172</v>
      </c>
      <c r="D24" s="80" t="s">
        <v>163</v>
      </c>
      <c r="E24" s="81"/>
      <c r="F24" s="81"/>
      <c r="G24" s="82"/>
      <c r="H24" s="1"/>
      <c r="I24" s="1"/>
    </row>
    <row r="25" spans="1:9" x14ac:dyDescent="0.25">
      <c r="A25" s="1"/>
      <c r="B25" s="1"/>
      <c r="C25" s="6" t="s">
        <v>173</v>
      </c>
      <c r="D25" s="80" t="s">
        <v>74</v>
      </c>
      <c r="E25" s="81"/>
      <c r="F25" s="81"/>
      <c r="G25" s="82"/>
      <c r="H25" s="1"/>
      <c r="I25" s="1"/>
    </row>
    <row r="26" spans="1:9" x14ac:dyDescent="0.25">
      <c r="A26" s="1"/>
      <c r="B26" s="1"/>
      <c r="C26" s="6" t="s">
        <v>174</v>
      </c>
      <c r="D26" s="80" t="s">
        <v>75</v>
      </c>
      <c r="E26" s="81"/>
      <c r="F26" s="81"/>
      <c r="G26" s="82"/>
      <c r="H26" s="1"/>
      <c r="I26" s="1"/>
    </row>
    <row r="27" spans="1:9" x14ac:dyDescent="0.25">
      <c r="A27" s="1"/>
      <c r="B27" s="1"/>
      <c r="C27" s="6" t="s">
        <v>89</v>
      </c>
      <c r="D27" s="80" t="s">
        <v>103</v>
      </c>
      <c r="E27" s="81"/>
      <c r="F27" s="81"/>
      <c r="G27" s="82"/>
      <c r="H27" s="1"/>
      <c r="I27" s="1"/>
    </row>
    <row r="28" spans="1:9" x14ac:dyDescent="0.25">
      <c r="A28" s="1"/>
      <c r="B28" s="1"/>
      <c r="C28" s="6" t="s">
        <v>83</v>
      </c>
      <c r="D28" s="80" t="s">
        <v>32</v>
      </c>
      <c r="E28" s="81"/>
      <c r="F28" s="81"/>
      <c r="G28" s="82"/>
      <c r="H28" s="1"/>
      <c r="I28" s="1"/>
    </row>
    <row r="29" spans="1:9" x14ac:dyDescent="0.25">
      <c r="A29" s="1"/>
      <c r="B29" s="1"/>
      <c r="C29" s="6" t="s">
        <v>175</v>
      </c>
      <c r="D29" s="88" t="s">
        <v>84</v>
      </c>
      <c r="E29" s="89"/>
      <c r="F29" s="89"/>
      <c r="G29" s="90"/>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rcUfZhN7mBW7n50t3glqiZ8ZyxMf9zLFwJb9j4IJb1g3aasZuUsqplelgtC9pqv+/0nAWFxJvrMOa6A8RFDEow==" saltValue="2R7vzAJITJ1JTfsNZpeiqQ=="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4" t="s">
        <v>92</v>
      </c>
      <c r="C3" s="94"/>
      <c r="D3" s="94"/>
      <c r="E3" s="1"/>
      <c r="F3" s="1"/>
    </row>
    <row r="4" spans="1:6" ht="15" customHeight="1" x14ac:dyDescent="0.25">
      <c r="A4" s="1"/>
      <c r="B4" s="94"/>
      <c r="C4" s="94"/>
      <c r="D4" s="9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4" t="s">
        <v>226</v>
      </c>
      <c r="C8" s="105"/>
      <c r="D8" s="106"/>
      <c r="E8" s="1"/>
      <c r="F8" s="1"/>
    </row>
    <row r="9" spans="1:6" ht="15" customHeight="1" x14ac:dyDescent="0.25">
      <c r="A9" s="1"/>
      <c r="B9" s="32" t="s">
        <v>28</v>
      </c>
      <c r="C9" s="11" t="s">
        <v>212</v>
      </c>
      <c r="D9" s="11"/>
      <c r="E9" s="1"/>
      <c r="F9" s="1"/>
    </row>
    <row r="10" spans="1:6" ht="15" customHeight="1" x14ac:dyDescent="0.25">
      <c r="A10" s="1"/>
      <c r="B10" s="67" t="s">
        <v>243</v>
      </c>
      <c r="C10" s="9">
        <v>80456</v>
      </c>
      <c r="D10" s="14" t="s">
        <v>3</v>
      </c>
      <c r="E10" s="1"/>
      <c r="F10" s="1"/>
    </row>
    <row r="11" spans="1:6" ht="26.25" x14ac:dyDescent="0.25">
      <c r="A11" s="1"/>
      <c r="B11" s="54" t="s">
        <v>244</v>
      </c>
      <c r="C11" s="9">
        <v>3031976</v>
      </c>
      <c r="D11" s="14" t="s">
        <v>3</v>
      </c>
      <c r="E11" s="1"/>
      <c r="F11" s="1"/>
    </row>
    <row r="12" spans="1:6" x14ac:dyDescent="0.25">
      <c r="A12" s="1"/>
      <c r="B12" s="67"/>
      <c r="C12" s="9"/>
      <c r="D12" s="14" t="s">
        <v>3</v>
      </c>
      <c r="E12" s="1"/>
      <c r="F12" s="1"/>
    </row>
    <row r="13" spans="1:6" x14ac:dyDescent="0.25">
      <c r="A13" s="1"/>
      <c r="B13" s="67"/>
      <c r="C13" s="9"/>
      <c r="D13" s="14" t="s">
        <v>3</v>
      </c>
      <c r="E13" s="1"/>
      <c r="F13" s="1"/>
    </row>
    <row r="14" spans="1:6" x14ac:dyDescent="0.25">
      <c r="A14" s="1"/>
      <c r="B14" s="67"/>
      <c r="C14" s="9"/>
      <c r="D14" s="14" t="s">
        <v>3</v>
      </c>
      <c r="E14" s="1"/>
      <c r="F14" s="1"/>
    </row>
    <row r="15" spans="1:6" x14ac:dyDescent="0.25">
      <c r="A15" s="1"/>
      <c r="B15" s="67"/>
      <c r="C15" s="9"/>
      <c r="D15" s="14" t="s">
        <v>3</v>
      </c>
      <c r="E15" s="1"/>
      <c r="F15" s="1"/>
    </row>
    <row r="16" spans="1:6" x14ac:dyDescent="0.25">
      <c r="A16" s="1"/>
      <c r="B16" s="67"/>
      <c r="C16" s="9"/>
      <c r="D16" s="14" t="s">
        <v>3</v>
      </c>
      <c r="E16" s="1"/>
      <c r="F16" s="1"/>
    </row>
    <row r="17" spans="1:6" x14ac:dyDescent="0.25">
      <c r="A17" s="1"/>
      <c r="B17" s="67"/>
      <c r="C17" s="9"/>
      <c r="D17" s="14" t="s">
        <v>3</v>
      </c>
      <c r="E17" s="1"/>
      <c r="F17" s="1"/>
    </row>
    <row r="18" spans="1:6" x14ac:dyDescent="0.25">
      <c r="A18" s="1"/>
      <c r="B18" s="67"/>
      <c r="C18" s="9"/>
      <c r="D18" s="14" t="s">
        <v>3</v>
      </c>
      <c r="E18" s="1"/>
      <c r="F18" s="1"/>
    </row>
    <row r="19" spans="1:6" x14ac:dyDescent="0.25">
      <c r="A19" s="1"/>
      <c r="B19" s="51" t="s">
        <v>213</v>
      </c>
      <c r="C19" s="12">
        <f>SUM(C10:C18)</f>
        <v>3112432</v>
      </c>
      <c r="D19" s="13" t="s">
        <v>3</v>
      </c>
      <c r="E19" s="1"/>
      <c r="F19" s="1"/>
    </row>
    <row r="20" spans="1:6" x14ac:dyDescent="0.25">
      <c r="A20" s="1"/>
      <c r="B20" s="51" t="s">
        <v>214</v>
      </c>
      <c r="C20" s="12">
        <f>C19*(1+'Fane 13. Nøgletal'!C16)^2</f>
        <v>3635720.95925248</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9V6mri80IXYfThfsH28Z2GYrcAStMs1z/PnHRDCi4Zz4OTiIStdNnqKCWy4IPFwo7Kth7oP4UVI4udh9I0wHuw==" saltValue="IW6rzKnrVBneUc9yg/k+9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7" t="s">
        <v>227</v>
      </c>
      <c r="C3" s="97"/>
      <c r="D3" s="97"/>
      <c r="E3" s="97"/>
      <c r="F3" s="97"/>
      <c r="G3" s="1"/>
    </row>
    <row r="4" spans="1:7" ht="15" customHeight="1" x14ac:dyDescent="0.25">
      <c r="A4" s="1"/>
      <c r="B4" s="97"/>
      <c r="C4" s="97"/>
      <c r="D4" s="97"/>
      <c r="E4" s="97"/>
      <c r="F4" s="97"/>
      <c r="G4" s="1"/>
    </row>
    <row r="5" spans="1:7" ht="15" customHeight="1" x14ac:dyDescent="0.25">
      <c r="A5" s="1"/>
      <c r="B5" s="60"/>
      <c r="C5" s="60"/>
      <c r="D5" s="60"/>
      <c r="E5" s="60"/>
      <c r="F5" s="60"/>
      <c r="G5" s="1"/>
    </row>
    <row r="6" spans="1:7" ht="15" customHeight="1" x14ac:dyDescent="0.25">
      <c r="A6" s="1"/>
      <c r="B6" s="60"/>
      <c r="C6" s="60"/>
      <c r="D6" s="60"/>
      <c r="E6" s="60"/>
      <c r="F6" s="60"/>
      <c r="G6" s="1"/>
    </row>
    <row r="7" spans="1:7" x14ac:dyDescent="0.25">
      <c r="A7" s="1"/>
      <c r="B7" s="1"/>
      <c r="C7" s="1"/>
      <c r="D7" s="1"/>
      <c r="E7" s="1"/>
      <c r="F7" s="1"/>
      <c r="G7" s="1"/>
    </row>
    <row r="8" spans="1:7" x14ac:dyDescent="0.25">
      <c r="A8" s="1"/>
      <c r="B8" s="104" t="s">
        <v>245</v>
      </c>
      <c r="C8" s="105"/>
      <c r="D8" s="105"/>
      <c r="E8" s="105"/>
      <c r="F8" s="106"/>
      <c r="G8" s="1"/>
    </row>
    <row r="9" spans="1:7" x14ac:dyDescent="0.25">
      <c r="A9" s="1"/>
      <c r="B9" s="98" t="s">
        <v>246</v>
      </c>
      <c r="C9" s="99"/>
      <c r="D9" s="100"/>
      <c r="E9" s="28">
        <v>63048.311525544152</v>
      </c>
      <c r="F9" s="14" t="s">
        <v>3</v>
      </c>
      <c r="G9" s="1"/>
    </row>
    <row r="10" spans="1:7" x14ac:dyDescent="0.25">
      <c r="A10" s="1"/>
      <c r="B10" s="51"/>
      <c r="C10" s="52"/>
      <c r="D10" s="52"/>
      <c r="E10" s="52"/>
      <c r="F10" s="19"/>
      <c r="G10" s="1"/>
    </row>
    <row r="11" spans="1:7" ht="58.5" customHeight="1" x14ac:dyDescent="0.25">
      <c r="A11" s="1"/>
      <c r="B11" s="116" t="s">
        <v>247</v>
      </c>
      <c r="C11" s="117"/>
      <c r="D11" s="117"/>
      <c r="E11" s="117"/>
      <c r="F11" s="118"/>
      <c r="G11" s="1"/>
    </row>
    <row r="12" spans="1:7" x14ac:dyDescent="0.25">
      <c r="A12" s="1"/>
      <c r="B12" s="1"/>
      <c r="C12" s="1"/>
      <c r="D12" s="1"/>
      <c r="E12" s="1"/>
      <c r="F12" s="1"/>
      <c r="G12" s="1"/>
    </row>
    <row r="13" spans="1:7" x14ac:dyDescent="0.25">
      <c r="A13" s="1"/>
      <c r="B13" s="104" t="s">
        <v>140</v>
      </c>
      <c r="C13" s="105"/>
      <c r="D13" s="105"/>
      <c r="E13" s="105"/>
      <c r="F13" s="106"/>
      <c r="G13" s="1"/>
    </row>
    <row r="14" spans="1:7" x14ac:dyDescent="0.25">
      <c r="A14" s="1"/>
      <c r="B14" s="98" t="s">
        <v>248</v>
      </c>
      <c r="C14" s="99"/>
      <c r="D14" s="100"/>
      <c r="E14" s="9">
        <v>-208266.57517036982</v>
      </c>
      <c r="F14" s="14" t="s">
        <v>3</v>
      </c>
      <c r="G14" s="1"/>
    </row>
    <row r="15" spans="1:7" x14ac:dyDescent="0.25">
      <c r="A15" s="1"/>
      <c r="B15" s="98" t="s">
        <v>249</v>
      </c>
      <c r="C15" s="99"/>
      <c r="D15" s="100"/>
      <c r="E15" s="9">
        <v>-208266.57517036982</v>
      </c>
      <c r="F15" s="14" t="s">
        <v>3</v>
      </c>
      <c r="G15" s="1"/>
    </row>
    <row r="16" spans="1:7" x14ac:dyDescent="0.25">
      <c r="A16" s="1"/>
      <c r="B16" s="51"/>
      <c r="C16" s="52"/>
      <c r="D16" s="52"/>
      <c r="E16" s="52"/>
      <c r="F16" s="19"/>
      <c r="G16" s="1"/>
    </row>
    <row r="17" spans="1:7" ht="30.75" customHeight="1" x14ac:dyDescent="0.25">
      <c r="A17" s="1"/>
      <c r="B17" s="116" t="s">
        <v>250</v>
      </c>
      <c r="C17" s="117"/>
      <c r="D17" s="117"/>
      <c r="E17" s="117"/>
      <c r="F17" s="118"/>
      <c r="G17" s="1"/>
    </row>
    <row r="18" spans="1:7" x14ac:dyDescent="0.25">
      <c r="A18" s="1"/>
      <c r="B18" s="1"/>
      <c r="C18" s="1"/>
      <c r="D18" s="1"/>
      <c r="E18" s="1"/>
      <c r="F18" s="1"/>
      <c r="G18" s="1"/>
    </row>
    <row r="19" spans="1:7" x14ac:dyDescent="0.25">
      <c r="A19" s="1"/>
      <c r="B19" s="61" t="s">
        <v>251</v>
      </c>
      <c r="C19" s="62"/>
      <c r="D19" s="62"/>
      <c r="E19" s="62"/>
      <c r="F19" s="63"/>
      <c r="G19" s="1"/>
    </row>
    <row r="20" spans="1:7" x14ac:dyDescent="0.25">
      <c r="A20" s="1"/>
      <c r="B20" s="64" t="s">
        <v>252</v>
      </c>
      <c r="C20" s="65"/>
      <c r="D20" s="66"/>
      <c r="E20" s="9">
        <v>7189283.5079060998</v>
      </c>
      <c r="F20" s="14" t="s">
        <v>3</v>
      </c>
      <c r="G20" s="1"/>
    </row>
    <row r="21" spans="1:7" x14ac:dyDescent="0.25">
      <c r="A21" s="1"/>
      <c r="B21" s="64" t="s">
        <v>253</v>
      </c>
      <c r="C21" s="65"/>
      <c r="D21" s="66"/>
      <c r="E21" s="9">
        <v>7208665</v>
      </c>
      <c r="F21" s="14" t="s">
        <v>3</v>
      </c>
      <c r="G21" s="1"/>
    </row>
    <row r="22" spans="1:7" x14ac:dyDescent="0.25">
      <c r="A22" s="1"/>
      <c r="B22" s="64" t="s">
        <v>29</v>
      </c>
      <c r="C22" s="65"/>
      <c r="D22" s="66"/>
      <c r="E22" s="9">
        <v>0</v>
      </c>
      <c r="F22" s="14" t="s">
        <v>3</v>
      </c>
      <c r="G22" s="1"/>
    </row>
    <row r="23" spans="1:7" x14ac:dyDescent="0.25">
      <c r="A23" s="1"/>
      <c r="B23" s="69" t="s">
        <v>254</v>
      </c>
      <c r="C23" s="70"/>
      <c r="D23" s="71"/>
      <c r="E23" s="10">
        <f>E20-(E21-E22)</f>
        <v>-19381.492093900219</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104" t="s">
        <v>255</v>
      </c>
      <c r="C26" s="105"/>
      <c r="D26" s="105"/>
      <c r="E26" s="105"/>
      <c r="F26" s="106"/>
      <c r="G26" s="1"/>
    </row>
    <row r="27" spans="1:7" x14ac:dyDescent="0.25">
      <c r="A27" s="1"/>
      <c r="B27" s="123" t="s">
        <v>256</v>
      </c>
      <c r="C27" s="124"/>
      <c r="D27" s="125"/>
      <c r="E27" s="58">
        <f>IF(AND(E15&lt;0,E23&gt;0,ABS(SUM(E14:E15))&lt;E23),ABS(E14),IF(AND(E15&lt;0,E23&gt;0,ABS(SUM(E14:E15))&gt;E23),SUM(E14,E23),0))</f>
        <v>0</v>
      </c>
      <c r="F27" s="17" t="s">
        <v>3</v>
      </c>
      <c r="G27" s="1"/>
    </row>
    <row r="28" spans="1:7" x14ac:dyDescent="0.25">
      <c r="A28" s="1"/>
      <c r="B28" s="104"/>
      <c r="C28" s="105"/>
      <c r="D28" s="105"/>
      <c r="E28" s="105"/>
      <c r="F28" s="106"/>
      <c r="G28" s="1"/>
    </row>
    <row r="29" spans="1:7" x14ac:dyDescent="0.25">
      <c r="A29" s="1"/>
      <c r="B29" s="1"/>
      <c r="C29" s="1"/>
      <c r="D29" s="1"/>
      <c r="E29" s="1"/>
      <c r="F29" s="1"/>
      <c r="G29" s="1"/>
    </row>
    <row r="30" spans="1:7" x14ac:dyDescent="0.25">
      <c r="A30" s="1"/>
      <c r="B30" s="104" t="s">
        <v>257</v>
      </c>
      <c r="C30" s="105"/>
      <c r="D30" s="105"/>
      <c r="E30" s="105"/>
      <c r="F30" s="106"/>
      <c r="G30" s="1"/>
    </row>
    <row r="31" spans="1:7" x14ac:dyDescent="0.25">
      <c r="A31" s="1"/>
      <c r="B31" s="126" t="s">
        <v>117</v>
      </c>
      <c r="C31" s="127"/>
      <c r="D31" s="128"/>
      <c r="E31" s="59">
        <f>IF(AND(E9&gt;0,(E9+E23)&gt;0),0,IF(AND(E9&gt;0,(E9+E23)&lt;0),(E9+E23),IF(AND(E9&lt;0,E23&lt;0),E23,0)))</f>
        <v>0</v>
      </c>
      <c r="F31" s="14" t="s">
        <v>3</v>
      </c>
      <c r="G31" s="1"/>
    </row>
    <row r="32" spans="1:7" x14ac:dyDescent="0.25">
      <c r="A32" s="1"/>
      <c r="B32" s="126" t="s">
        <v>85</v>
      </c>
      <c r="C32" s="127"/>
      <c r="D32" s="128"/>
      <c r="E32" s="9">
        <v>2</v>
      </c>
      <c r="F32" s="14" t="s">
        <v>18</v>
      </c>
      <c r="G32" s="1"/>
    </row>
    <row r="33" spans="1:7" x14ac:dyDescent="0.25">
      <c r="A33" s="1"/>
      <c r="B33" s="119" t="s">
        <v>116</v>
      </c>
      <c r="C33" s="119"/>
      <c r="D33" s="119"/>
      <c r="E33" s="58">
        <f>E31/E32</f>
        <v>0</v>
      </c>
      <c r="F33" s="17" t="s">
        <v>3</v>
      </c>
      <c r="G33" s="1"/>
    </row>
    <row r="34" spans="1:7" x14ac:dyDescent="0.25">
      <c r="A34" s="1"/>
      <c r="B34" s="120"/>
      <c r="C34" s="121"/>
      <c r="D34" s="121"/>
      <c r="E34" s="121"/>
      <c r="F34" s="12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jyRqmsqT2LD7tq2Rz8ZUzJf9ErX4iQeMgL2TvbSoJFX+kjh4WNOtMb2FiM7K4JBpiw+OOMnIaXK5XdCwQnH5EQ==" saltValue="/CGHqaMHjJHJsuIAlr/eBg==" spinCount="100000" sheet="1" objects="1" scenarios="1"/>
  <mergeCells count="16">
    <mergeCell ref="B33:D33"/>
    <mergeCell ref="B34:F34"/>
    <mergeCell ref="B14:D14"/>
    <mergeCell ref="B15:D15"/>
    <mergeCell ref="B17:F17"/>
    <mergeCell ref="B26:F26"/>
    <mergeCell ref="B27:D27"/>
    <mergeCell ref="B31:D31"/>
    <mergeCell ref="B28:F28"/>
    <mergeCell ref="B30:F30"/>
    <mergeCell ref="B32:D32"/>
    <mergeCell ref="B13:F13"/>
    <mergeCell ref="B3:F4"/>
    <mergeCell ref="B8:F8"/>
    <mergeCell ref="B9:D9"/>
    <mergeCell ref="B11:F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4" t="s">
        <v>183</v>
      </c>
      <c r="C3" s="94"/>
      <c r="D3" s="94"/>
      <c r="E3" s="94"/>
      <c r="F3" s="94"/>
      <c r="G3" s="94"/>
      <c r="H3" s="94"/>
      <c r="I3" s="1"/>
    </row>
    <row r="4" spans="1:9" ht="15" customHeight="1" x14ac:dyDescent="0.25">
      <c r="A4" s="1"/>
      <c r="B4" s="94"/>
      <c r="C4" s="94"/>
      <c r="D4" s="94"/>
      <c r="E4" s="94"/>
      <c r="F4" s="94"/>
      <c r="G4" s="94"/>
      <c r="H4" s="9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4" t="s">
        <v>184</v>
      </c>
      <c r="C8" s="105"/>
      <c r="D8" s="105"/>
      <c r="E8" s="105"/>
      <c r="F8" s="105"/>
      <c r="G8" s="105"/>
      <c r="H8" s="106"/>
      <c r="I8" s="1"/>
    </row>
    <row r="9" spans="1:9" ht="15" customHeight="1" x14ac:dyDescent="0.25">
      <c r="A9" s="1"/>
      <c r="B9" s="129" t="s">
        <v>234</v>
      </c>
      <c r="C9" s="130"/>
      <c r="D9" s="130"/>
      <c r="E9" s="130"/>
      <c r="F9" s="130"/>
      <c r="G9" s="130"/>
      <c r="H9" s="131"/>
      <c r="I9" s="1"/>
    </row>
    <row r="10" spans="1:9" x14ac:dyDescent="0.25">
      <c r="A10" s="1"/>
      <c r="B10" s="132" t="s">
        <v>185</v>
      </c>
      <c r="C10" s="133"/>
      <c r="D10" s="133"/>
      <c r="E10" s="133"/>
      <c r="F10" s="134"/>
      <c r="G10" s="45"/>
      <c r="H10" s="9" t="s">
        <v>3</v>
      </c>
      <c r="I10" s="1"/>
    </row>
    <row r="11" spans="1:9" x14ac:dyDescent="0.25">
      <c r="A11" s="1"/>
      <c r="B11" s="132" t="s">
        <v>186</v>
      </c>
      <c r="C11" s="133"/>
      <c r="D11" s="133"/>
      <c r="E11" s="133"/>
      <c r="F11" s="134"/>
      <c r="G11" s="45"/>
      <c r="H11" s="9" t="s">
        <v>3</v>
      </c>
      <c r="I11" s="1"/>
    </row>
    <row r="12" spans="1:9" x14ac:dyDescent="0.25">
      <c r="A12" s="1"/>
      <c r="B12" s="132" t="s">
        <v>187</v>
      </c>
      <c r="C12" s="133"/>
      <c r="D12" s="133"/>
      <c r="E12" s="133"/>
      <c r="F12" s="134"/>
      <c r="G12" s="9"/>
      <c r="H12" s="9" t="s">
        <v>3</v>
      </c>
      <c r="I12" s="1"/>
    </row>
    <row r="13" spans="1:9" x14ac:dyDescent="0.25">
      <c r="A13" s="1"/>
      <c r="B13" s="132" t="s">
        <v>188</v>
      </c>
      <c r="C13" s="133"/>
      <c r="D13" s="133"/>
      <c r="E13" s="133"/>
      <c r="F13" s="134"/>
      <c r="G13" s="9"/>
      <c r="H13" s="9" t="s">
        <v>3</v>
      </c>
      <c r="I13" s="1"/>
    </row>
    <row r="14" spans="1:9" x14ac:dyDescent="0.25">
      <c r="A14" s="1"/>
      <c r="B14" s="132" t="s">
        <v>189</v>
      </c>
      <c r="C14" s="133"/>
      <c r="D14" s="133"/>
      <c r="E14" s="133"/>
      <c r="F14" s="134"/>
      <c r="G14" s="9"/>
      <c r="H14" s="9" t="s">
        <v>3</v>
      </c>
      <c r="I14" s="1"/>
    </row>
    <row r="15" spans="1:9" x14ac:dyDescent="0.25">
      <c r="A15" s="1"/>
      <c r="B15" s="132" t="s">
        <v>190</v>
      </c>
      <c r="C15" s="133"/>
      <c r="D15" s="133"/>
      <c r="E15" s="133"/>
      <c r="F15" s="134"/>
      <c r="G15" s="9"/>
      <c r="H15" s="9" t="s">
        <v>3</v>
      </c>
      <c r="I15" s="1"/>
    </row>
    <row r="16" spans="1:9" x14ac:dyDescent="0.25">
      <c r="A16" s="1"/>
      <c r="B16" s="132" t="s">
        <v>191</v>
      </c>
      <c r="C16" s="133"/>
      <c r="D16" s="133"/>
      <c r="E16" s="133"/>
      <c r="F16" s="134"/>
      <c r="G16" s="9"/>
      <c r="H16" s="9" t="s">
        <v>3</v>
      </c>
      <c r="I16" s="1"/>
    </row>
    <row r="17" spans="1:9" x14ac:dyDescent="0.25">
      <c r="A17" s="1"/>
      <c r="B17" s="132" t="s">
        <v>192</v>
      </c>
      <c r="C17" s="133"/>
      <c r="D17" s="133"/>
      <c r="E17" s="133"/>
      <c r="F17" s="134"/>
      <c r="G17" s="9"/>
      <c r="H17" s="9" t="s">
        <v>3</v>
      </c>
      <c r="I17" s="1"/>
    </row>
    <row r="18" spans="1:9" x14ac:dyDescent="0.25">
      <c r="A18" s="1"/>
      <c r="B18" s="104" t="s">
        <v>193</v>
      </c>
      <c r="C18" s="105"/>
      <c r="D18" s="105"/>
      <c r="E18" s="105"/>
      <c r="F18" s="10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PCWp9SHUsQeAz9NILfCYtQI0bY1WsOrvvfgqGXmCH8ajtl0BlmbPKCvoMDlkvcTnXmjYmTPJj/F6et+lf7G0sg==" saltValue="xxqu8kmxMMisZwQuobDmH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177</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4" t="s">
        <v>155</v>
      </c>
      <c r="C8" s="105"/>
      <c r="D8" s="105"/>
      <c r="E8" s="105"/>
      <c r="F8" s="105"/>
      <c r="G8" s="105"/>
      <c r="H8" s="105"/>
      <c r="I8" s="105"/>
      <c r="J8" s="105"/>
      <c r="K8" s="106"/>
      <c r="L8" s="1"/>
    </row>
    <row r="9" spans="1:12" ht="39.75" customHeight="1" x14ac:dyDescent="0.25">
      <c r="A9" s="1"/>
      <c r="B9" s="18" t="s">
        <v>0</v>
      </c>
      <c r="C9" s="18" t="s">
        <v>1</v>
      </c>
      <c r="D9" s="135" t="s">
        <v>170</v>
      </c>
      <c r="E9" s="136"/>
      <c r="F9" s="135" t="s">
        <v>2</v>
      </c>
      <c r="G9" s="136"/>
      <c r="H9" s="135" t="s">
        <v>171</v>
      </c>
      <c r="I9" s="136"/>
      <c r="J9" s="135" t="s">
        <v>26</v>
      </c>
      <c r="K9" s="136"/>
      <c r="L9" s="1"/>
    </row>
    <row r="10" spans="1:12" x14ac:dyDescent="0.25">
      <c r="A10" s="1"/>
      <c r="B10" s="74"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63"/>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qhFX6iczKPZ6rjRxt9jYngvqZCa0VPrxxQ7jPLncQKecTmBNejEY+/6NSnHrllJJISeHrsQVPxcP7KHAreeUA==" saltValue="iYJShvpEwZZNZz2TguQ9s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178</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2" t="s">
        <v>15</v>
      </c>
      <c r="C9" s="72" t="s">
        <v>10</v>
      </c>
      <c r="D9" s="73"/>
      <c r="E9" s="72"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c r="C11" s="21"/>
      <c r="D11" s="14" t="s">
        <v>3</v>
      </c>
      <c r="E11" s="9"/>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1" t="s">
        <v>151</v>
      </c>
      <c r="C17" s="12">
        <f>SUM(C10:C16)</f>
        <v>0</v>
      </c>
      <c r="D17" s="13" t="s">
        <v>3</v>
      </c>
      <c r="E17" s="12">
        <f>SUM(E10:E16)</f>
        <v>0</v>
      </c>
      <c r="F17" s="13" t="s">
        <v>3</v>
      </c>
      <c r="G17" s="1"/>
    </row>
    <row r="18" spans="1:7" x14ac:dyDescent="0.25">
      <c r="A18" s="1"/>
      <c r="B18" s="51" t="s">
        <v>209</v>
      </c>
      <c r="C18" s="12">
        <f>C17*(1+'Fane 13. Nøgletal'!C16)</f>
        <v>0</v>
      </c>
      <c r="D18" s="13" t="s">
        <v>3</v>
      </c>
      <c r="E18" s="12">
        <f>E17*(1+'Fane 13. Nøgletal'!C16)</f>
        <v>0</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g5mBoYYJwFF8vZ2NGjRzxV4V49haI5+SSQ5MzHJz0z0Zyd8bSgEpL3dUnDSbQAeA0K/7eSJpojYVgvqETFeeaw==" saltValue="a87TzCUvuk52c9YgYwDTM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179</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4" t="s">
        <v>217</v>
      </c>
      <c r="C9" s="105"/>
      <c r="D9" s="105"/>
      <c r="E9" s="105"/>
      <c r="F9" s="106"/>
      <c r="G9" s="1"/>
    </row>
    <row r="10" spans="1:7" ht="26.25" x14ac:dyDescent="0.25">
      <c r="A10" s="1"/>
      <c r="B10" s="72" t="s">
        <v>15</v>
      </c>
      <c r="C10" s="72" t="s">
        <v>10</v>
      </c>
      <c r="D10" s="73"/>
      <c r="E10" s="72" t="s">
        <v>27</v>
      </c>
      <c r="F10" s="30"/>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ExTrQOUuctGDk+8IC5AyHr4MBstZKVfFzGh/lv0x6pfj9k/TYNsgPCIlpaA6GAFzhW+bFbUD+xnfVsqYpfXtw==" saltValue="Sa22JCb58kcD0JsvVeV61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180</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4" t="s">
        <v>104</v>
      </c>
      <c r="C8" s="105"/>
      <c r="D8" s="105"/>
      <c r="E8" s="105"/>
      <c r="F8" s="106"/>
      <c r="G8" s="1"/>
    </row>
    <row r="9" spans="1:7" ht="15" customHeight="1" x14ac:dyDescent="0.25">
      <c r="A9" s="1"/>
      <c r="B9" s="53" t="s">
        <v>105</v>
      </c>
      <c r="C9" s="129" t="s">
        <v>10</v>
      </c>
      <c r="D9" s="131"/>
      <c r="E9" s="129" t="s">
        <v>27</v>
      </c>
      <c r="F9" s="131"/>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Ao3TIl62zagm/1mC6kra5Qk6u56oZE5BSDGvZ9STupD7/CDmnLqpKUjMri5CNO9Tkxo/bZRaNBA0PFzEB4Dr8Q==" saltValue="a8J6gd5rgsPxg5e4SeHlj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181</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4" t="s">
        <v>237</v>
      </c>
      <c r="C10" s="105"/>
      <c r="D10" s="105"/>
      <c r="E10" s="105"/>
      <c r="F10" s="106"/>
      <c r="G10" s="1"/>
    </row>
    <row r="11" spans="1:7" ht="26.25" x14ac:dyDescent="0.25">
      <c r="A11" s="1"/>
      <c r="B11" s="53" t="s">
        <v>16</v>
      </c>
      <c r="C11" s="53" t="s">
        <v>10</v>
      </c>
      <c r="D11" s="30"/>
      <c r="E11" s="53" t="s">
        <v>27</v>
      </c>
      <c r="F11" s="30"/>
      <c r="G11" s="1"/>
    </row>
    <row r="12" spans="1:7" x14ac:dyDescent="0.25">
      <c r="A12" s="1"/>
      <c r="B12" s="57" t="s">
        <v>242</v>
      </c>
      <c r="C12" s="9">
        <v>0</v>
      </c>
      <c r="D12" s="14" t="s">
        <v>3</v>
      </c>
      <c r="E12" s="9">
        <v>0</v>
      </c>
      <c r="F12" s="14" t="s">
        <v>3</v>
      </c>
      <c r="G12" s="1"/>
    </row>
    <row r="13" spans="1:7" x14ac:dyDescent="0.25">
      <c r="A13" s="1"/>
      <c r="B13" s="51" t="s">
        <v>78</v>
      </c>
      <c r="C13" s="12">
        <f>SUM(C12:C12)</f>
        <v>0</v>
      </c>
      <c r="D13" s="13" t="s">
        <v>3</v>
      </c>
      <c r="E13" s="12">
        <f>SUM(E12:E12)</f>
        <v>0</v>
      </c>
      <c r="F13" s="13" t="s">
        <v>3</v>
      </c>
      <c r="G13" s="1"/>
    </row>
    <row r="14" spans="1:7" x14ac:dyDescent="0.25">
      <c r="A14" s="1"/>
      <c r="B14" s="51"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7kV26stv+CwjS/tlh2FpNRFlEvi1S6Cnw8kN8ixA2yvajZTZdEv93E2Pf++yBCaIHvcL/Wt3LJi57qeyMtdPw==" saltValue="hOdt8czWXSfae6qpKx3Jqg=="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7" t="s">
        <v>182</v>
      </c>
      <c r="C3" s="97"/>
      <c r="D3" s="1"/>
    </row>
    <row r="4" spans="1:4" ht="25.5" customHeight="1" x14ac:dyDescent="0.25">
      <c r="A4" s="1"/>
      <c r="B4" s="97"/>
      <c r="C4" s="97"/>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67" t="s">
        <v>93</v>
      </c>
      <c r="C9" s="40">
        <v>1.2699999999999999E-2</v>
      </c>
      <c r="D9" s="1"/>
    </row>
    <row r="10" spans="1:4" x14ac:dyDescent="0.25">
      <c r="A10" s="1"/>
      <c r="B10" s="67" t="s">
        <v>21</v>
      </c>
      <c r="C10" s="40">
        <v>1.7500000000000002E-2</v>
      </c>
      <c r="D10" s="1"/>
    </row>
    <row r="11" spans="1:4" x14ac:dyDescent="0.25">
      <c r="A11" s="1"/>
      <c r="B11" s="67"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4"/>
      <c r="C17" s="106"/>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67" t="s">
        <v>95</v>
      </c>
      <c r="C21" s="42">
        <v>9.1000000000000004E-3</v>
      </c>
      <c r="D21" s="1"/>
    </row>
    <row r="22" spans="1:4" x14ac:dyDescent="0.25">
      <c r="A22" s="1"/>
      <c r="B22" s="67" t="s">
        <v>96</v>
      </c>
      <c r="C22" s="42">
        <v>1.77E-2</v>
      </c>
      <c r="D22" s="1"/>
    </row>
    <row r="23" spans="1:4" x14ac:dyDescent="0.25">
      <c r="A23" s="1"/>
      <c r="B23" s="67" t="s">
        <v>97</v>
      </c>
      <c r="C23" s="42">
        <v>8.6999999999999994E-3</v>
      </c>
      <c r="D23" s="1"/>
    </row>
    <row r="24" spans="1:4" x14ac:dyDescent="0.25">
      <c r="A24" s="1"/>
      <c r="B24" s="67" t="s">
        <v>98</v>
      </c>
      <c r="C24" s="42">
        <v>2.8400000000000002E-2</v>
      </c>
      <c r="D24" s="1"/>
    </row>
    <row r="25" spans="1:4" x14ac:dyDescent="0.25">
      <c r="A25" s="1"/>
      <c r="B25" s="67" t="s">
        <v>111</v>
      </c>
      <c r="C25" s="42">
        <v>2.75E-2</v>
      </c>
      <c r="D25" s="1"/>
    </row>
    <row r="26" spans="1:4" x14ac:dyDescent="0.25">
      <c r="A26" s="1"/>
      <c r="B26" s="67"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67"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1AzDZ6Ae7+UOBp78fmxLKmB9h5UX1NU4mRmwa0Kd9JRnM43EIqf40rr5DqzZuNTm0YsXGcIhHgbEr1qusvb44g==" saltValue="IfCem6GIAD5R2zzJJCHTPA=="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5760318.2186903646</v>
      </c>
      <c r="D8" s="8" t="s">
        <v>3</v>
      </c>
      <c r="E8" s="1"/>
    </row>
    <row r="9" spans="1:5" ht="17.100000000000001" customHeight="1" x14ac:dyDescent="0.25">
      <c r="A9" s="1"/>
      <c r="B9" s="24" t="s">
        <v>33</v>
      </c>
      <c r="C9" s="7">
        <f>'Fane 10.1. Varige tillæg'!C18</f>
        <v>0</v>
      </c>
      <c r="D9" s="8" t="s">
        <v>3</v>
      </c>
      <c r="E9" s="1"/>
    </row>
    <row r="10" spans="1:5" ht="17.100000000000001" customHeight="1" x14ac:dyDescent="0.25">
      <c r="A10" s="1"/>
      <c r="B10" s="24" t="s">
        <v>34</v>
      </c>
      <c r="C10" s="9">
        <f>'Fane 10.1. Varige tillæg'!E18</f>
        <v>0</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205067.32858537699</v>
      </c>
      <c r="D15" s="8" t="s">
        <v>3</v>
      </c>
      <c r="E15" s="1"/>
    </row>
    <row r="16" spans="1:5" ht="17.100000000000001" customHeight="1" x14ac:dyDescent="0.25">
      <c r="A16" s="1"/>
      <c r="B16" s="24" t="s">
        <v>9</v>
      </c>
      <c r="C16" s="9">
        <f>-SUM(C8,C9:C15)*'Fane 5. Individuelt eff. krav'!G9</f>
        <v>-29662.58719578672</v>
      </c>
      <c r="D16" s="8" t="s">
        <v>3</v>
      </c>
      <c r="E16" s="1"/>
    </row>
    <row r="17" spans="1:5" ht="17.100000000000001" customHeight="1" x14ac:dyDescent="0.25">
      <c r="A17" s="1"/>
      <c r="B17" s="24" t="s">
        <v>22</v>
      </c>
      <c r="C17" s="9">
        <f>-'Fane 4.1. Gen. krav - drift'!G49</f>
        <v>-78506.760989218223</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69" t="s">
        <v>19</v>
      </c>
      <c r="C19" s="10">
        <f>SUM(C8:C18)</f>
        <v>5857216.1990907369</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3635720.95925248</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69" t="s">
        <v>76</v>
      </c>
      <c r="C27" s="56">
        <f>SUM(C23:C26)</f>
        <v>0</v>
      </c>
      <c r="D27" s="11" t="s">
        <v>3</v>
      </c>
      <c r="E27" s="1"/>
    </row>
    <row r="28" spans="1:5" ht="15" customHeight="1" x14ac:dyDescent="0.25">
      <c r="A28" s="1"/>
      <c r="B28" s="26" t="s">
        <v>117</v>
      </c>
      <c r="C28" s="52"/>
      <c r="D28" s="19"/>
      <c r="E28" s="1"/>
    </row>
    <row r="29" spans="1:5" x14ac:dyDescent="0.25">
      <c r="A29" s="1"/>
      <c r="B29" s="68" t="s">
        <v>118</v>
      </c>
      <c r="C29" s="10">
        <f>'Fane 7. Kontrol af ØR2022'!E15</f>
        <v>-208266.57517036982</v>
      </c>
      <c r="D29" s="11" t="s">
        <v>3</v>
      </c>
      <c r="E29" s="1"/>
    </row>
    <row r="30" spans="1:5" x14ac:dyDescent="0.25">
      <c r="A30" s="1"/>
      <c r="B30" s="26" t="s">
        <v>138</v>
      </c>
      <c r="C30" s="52"/>
      <c r="D30" s="19"/>
      <c r="E30" s="1"/>
    </row>
    <row r="31" spans="1:5" x14ac:dyDescent="0.25">
      <c r="A31" s="1"/>
      <c r="B31" s="68" t="s">
        <v>139</v>
      </c>
      <c r="C31" s="10">
        <f>'Fane 8. Skattesagen'!G13</f>
        <v>0</v>
      </c>
      <c r="D31" s="11" t="s">
        <v>3</v>
      </c>
      <c r="E31" s="1"/>
    </row>
    <row r="32" spans="1:5" x14ac:dyDescent="0.25">
      <c r="A32" s="1"/>
      <c r="B32" s="51" t="s">
        <v>126</v>
      </c>
      <c r="C32" s="33">
        <f>SUM(C19,C21,C27,C29,C31)</f>
        <v>9284670.5831728466</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JWbVLdNnwcETBGr/5gL1Ud6aam8Z8K4epT+TfFzT2NirFVMvRJoVSEsHYbxzBlvahwxBrBuzXWItoo6+EZWQBw==" saltValue="/e1GCJ56TvdFbEOh0ENdl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199</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5857216.1990907369</v>
      </c>
      <c r="D8" s="8" t="s">
        <v>3</v>
      </c>
      <c r="E8" s="1"/>
    </row>
    <row r="9" spans="1:5" ht="15" customHeight="1" x14ac:dyDescent="0.25">
      <c r="A9" s="1"/>
      <c r="B9" s="29" t="s">
        <v>17</v>
      </c>
      <c r="C9" s="9">
        <f>SUM(C8:C8)*'Fane 13. Nøgletal'!C16</f>
        <v>473263.06888653152</v>
      </c>
      <c r="D9" s="8" t="s">
        <v>3</v>
      </c>
      <c r="E9" s="1"/>
    </row>
    <row r="10" spans="1:5" ht="15" customHeight="1" x14ac:dyDescent="0.25">
      <c r="A10" s="1"/>
      <c r="B10" s="29" t="s">
        <v>9</v>
      </c>
      <c r="C10" s="9">
        <f>-SUM(C8:C9)*'Fane 5. Individuelt eff. krav'!G9</f>
        <v>-31477.997824172493</v>
      </c>
      <c r="D10" s="8" t="s">
        <v>3</v>
      </c>
      <c r="E10" s="1"/>
    </row>
    <row r="11" spans="1:5" ht="15" customHeight="1" x14ac:dyDescent="0.25">
      <c r="A11" s="1"/>
      <c r="B11" s="29" t="s">
        <v>22</v>
      </c>
      <c r="C11" s="9">
        <f>-'Fane 4.1. Gen. krav - drift'!G54</f>
        <v>-83153.105131604127</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6215848.1650214922</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3929487.2127600801</v>
      </c>
      <c r="D15" s="11" t="s">
        <v>3</v>
      </c>
      <c r="E15" s="1"/>
    </row>
    <row r="16" spans="1:5" x14ac:dyDescent="0.25">
      <c r="A16" s="1"/>
      <c r="B16" s="26" t="s">
        <v>117</v>
      </c>
      <c r="C16" s="52"/>
      <c r="D16" s="19"/>
      <c r="E16" s="1"/>
    </row>
    <row r="17" spans="1:5" ht="15" customHeight="1" x14ac:dyDescent="0.25">
      <c r="A17" s="1"/>
      <c r="B17" s="68" t="s">
        <v>118</v>
      </c>
      <c r="C17" s="10">
        <f>'Fane 7. Kontrol af ØR2022'!E31</f>
        <v>0</v>
      </c>
      <c r="D17" s="11" t="s">
        <v>3</v>
      </c>
      <c r="E17" s="1"/>
    </row>
    <row r="18" spans="1:5" x14ac:dyDescent="0.25">
      <c r="A18" s="1"/>
      <c r="B18" s="26" t="s">
        <v>138</v>
      </c>
      <c r="C18" s="52"/>
      <c r="D18" s="19"/>
      <c r="E18" s="1"/>
    </row>
    <row r="19" spans="1:5" x14ac:dyDescent="0.25">
      <c r="A19" s="1"/>
      <c r="B19" s="68" t="s">
        <v>139</v>
      </c>
      <c r="C19" s="10">
        <f>'Fane 8. Skattesagen'!G13</f>
        <v>0</v>
      </c>
      <c r="D19" s="11" t="s">
        <v>3</v>
      </c>
      <c r="E19" s="1"/>
    </row>
    <row r="20" spans="1:5" x14ac:dyDescent="0.25">
      <c r="A20" s="1"/>
      <c r="B20" s="51" t="s">
        <v>128</v>
      </c>
      <c r="C20" s="12">
        <f>SUM(C13,C15,C17,C19)</f>
        <v>10145335.377781572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HWue/7is/RATd3jrqlw5kL8g9zow/YyyLTqZbX5/H7qFUhlM5aG1w5oFhHvVcH+ks820aRTypEscVGxFsJ1DTg==" saltValue="9CNLdIu/aWnMkHzjXk8LE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6215848.1650214922</v>
      </c>
      <c r="D8" s="8" t="s">
        <v>3</v>
      </c>
      <c r="E8" s="1"/>
    </row>
    <row r="9" spans="1:5" ht="15" customHeight="1" x14ac:dyDescent="0.25">
      <c r="A9" s="1"/>
      <c r="B9" s="29" t="s">
        <v>17</v>
      </c>
      <c r="C9" s="9">
        <f>SUM(C8:C8)*'Fane 13. Nøgletal'!C16</f>
        <v>502240.53173373657</v>
      </c>
      <c r="D9" s="8" t="s">
        <v>3</v>
      </c>
      <c r="E9" s="1"/>
    </row>
    <row r="10" spans="1:5" ht="15" customHeight="1" x14ac:dyDescent="0.25">
      <c r="A10" s="1"/>
      <c r="B10" s="29" t="s">
        <v>9</v>
      </c>
      <c r="C10" s="9">
        <f>-SUM(C8:C9)*'Fane 5. Individuelt eff. krav'!G9</f>
        <v>-33405.366707192297</v>
      </c>
      <c r="D10" s="8" t="s">
        <v>3</v>
      </c>
      <c r="E10" s="1"/>
    </row>
    <row r="11" spans="1:5" ht="15" customHeight="1" x14ac:dyDescent="0.25">
      <c r="A11" s="1"/>
      <c r="B11" s="29" t="s">
        <v>22</v>
      </c>
      <c r="C11" s="9">
        <f>-'Fane 4.1. Gen. krav - drift'!G59</f>
        <v>-88074.438505712969</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6596608.8915423229</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4246989.7795510944</v>
      </c>
      <c r="D15" s="11" t="s">
        <v>3</v>
      </c>
      <c r="E15" s="1"/>
    </row>
    <row r="16" spans="1:5" x14ac:dyDescent="0.25">
      <c r="A16" s="1"/>
      <c r="B16" s="51" t="s">
        <v>117</v>
      </c>
      <c r="C16" s="52"/>
      <c r="D16" s="19"/>
      <c r="E16" s="1"/>
    </row>
    <row r="17" spans="1:5" x14ac:dyDescent="0.25">
      <c r="A17" s="1"/>
      <c r="B17" s="53" t="s">
        <v>118</v>
      </c>
      <c r="C17" s="10">
        <f>'Fane 7. Kontrol af ØR2022'!E33</f>
        <v>0</v>
      </c>
      <c r="D17" s="11" t="s">
        <v>3</v>
      </c>
      <c r="E17" s="1"/>
    </row>
    <row r="18" spans="1:5" ht="15" customHeight="1" x14ac:dyDescent="0.25">
      <c r="A18" s="1"/>
      <c r="B18" s="26" t="s">
        <v>138</v>
      </c>
      <c r="C18" s="52"/>
      <c r="D18" s="19"/>
      <c r="E18" s="1"/>
    </row>
    <row r="19" spans="1:5" ht="15" customHeight="1" x14ac:dyDescent="0.25">
      <c r="A19" s="1"/>
      <c r="B19" s="68" t="s">
        <v>139</v>
      </c>
      <c r="C19" s="10">
        <f>'Fane 8. Skattesagen'!G14</f>
        <v>0</v>
      </c>
      <c r="D19" s="11" t="s">
        <v>3</v>
      </c>
      <c r="E19" s="1"/>
    </row>
    <row r="20" spans="1:5" x14ac:dyDescent="0.25">
      <c r="A20" s="1"/>
      <c r="B20" s="51" t="s">
        <v>143</v>
      </c>
      <c r="C20" s="12">
        <f>SUM(C13,C15,C17,C19)</f>
        <v>10843598.671093417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Cp6ZduY/X4RhZfrInjCI+Jff+PVNtUKztZTSFZmK4/baAm+0u90VgCKddrP2fC3ni+H4DuwezbP3v4ju9aD4eg==" saltValue="cqbMRRw4H35/J06/2omWx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204</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6596608.8915423229</v>
      </c>
      <c r="D8" s="8" t="s">
        <v>3</v>
      </c>
      <c r="E8" s="1"/>
    </row>
    <row r="9" spans="1:5" ht="15" customHeight="1" x14ac:dyDescent="0.25">
      <c r="A9" s="1"/>
      <c r="B9" s="29" t="s">
        <v>17</v>
      </c>
      <c r="C9" s="9">
        <f>SUM(C8:C8)*'Fane 13. Nøgletal'!C16</f>
        <v>533005.99843661964</v>
      </c>
      <c r="D9" s="8" t="s">
        <v>3</v>
      </c>
      <c r="E9" s="1"/>
    </row>
    <row r="10" spans="1:5" ht="15" customHeight="1" x14ac:dyDescent="0.25">
      <c r="A10" s="1"/>
      <c r="B10" s="29" t="s">
        <v>9</v>
      </c>
      <c r="C10" s="9">
        <f>-SUM(C8:C9)*'Fane 5. Individuelt eff. krav'!G9</f>
        <v>-35451.660528959306</v>
      </c>
      <c r="D10" s="8" t="s">
        <v>3</v>
      </c>
      <c r="E10" s="1"/>
    </row>
    <row r="11" spans="1:5" ht="15" customHeight="1" x14ac:dyDescent="0.25">
      <c r="A11" s="1"/>
      <c r="B11" s="29" t="s">
        <v>22</v>
      </c>
      <c r="C11" s="9">
        <f>-'Fane 4.1. Gen. krav - drift'!G64</f>
        <v>-93287.036074235089</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7000876.1933757477</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4590146.5537388232</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68" t="s">
        <v>139</v>
      </c>
      <c r="C19" s="10">
        <f>'Fane 8. Skattesagen'!G15</f>
        <v>0</v>
      </c>
      <c r="D19" s="11" t="s">
        <v>3</v>
      </c>
      <c r="E19" s="1"/>
    </row>
    <row r="20" spans="1:5" x14ac:dyDescent="0.25">
      <c r="A20" s="1"/>
      <c r="B20" s="51" t="s">
        <v>205</v>
      </c>
      <c r="C20" s="12">
        <f>SUM(C13,C15,C17,C19)</f>
        <v>11591022.747114571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cyzAbA+84iHjvd9s9AJvjbf/vHO4iTspCjXMDB5YrJYz1nwmG4njOx8nuDKMjxyd4c5YxYCA/upX6O9Ph5viw==" saltValue="W8pOYY9rc8hToOLxTtavi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7" t="s">
        <v>201</v>
      </c>
      <c r="C3" s="97"/>
      <c r="D3" s="97"/>
      <c r="E3" s="1"/>
    </row>
    <row r="4" spans="1:5"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4889811.2551277392</v>
      </c>
      <c r="D8" s="8" t="s">
        <v>3</v>
      </c>
      <c r="E8" s="1"/>
    </row>
    <row r="9" spans="1:5" x14ac:dyDescent="0.25">
      <c r="A9" s="1"/>
      <c r="B9" s="24" t="s">
        <v>33</v>
      </c>
      <c r="C9" s="7">
        <v>775354.75560000003</v>
      </c>
      <c r="D9" s="8" t="s">
        <v>3</v>
      </c>
      <c r="E9" s="1"/>
    </row>
    <row r="10" spans="1:5" x14ac:dyDescent="0.25">
      <c r="A10" s="1"/>
      <c r="B10" s="24" t="s">
        <v>34</v>
      </c>
      <c r="C10" s="9">
        <v>0</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201679.90998190749</v>
      </c>
      <c r="D15" s="8" t="s">
        <v>3</v>
      </c>
      <c r="E15" s="1"/>
    </row>
    <row r="16" spans="1:5" x14ac:dyDescent="0.25">
      <c r="A16" s="1"/>
      <c r="B16" s="24" t="s">
        <v>9</v>
      </c>
      <c r="C16" s="9">
        <v>-29172.60373334448</v>
      </c>
      <c r="D16" s="8" t="s">
        <v>3</v>
      </c>
      <c r="E16" s="1"/>
    </row>
    <row r="17" spans="1:5" x14ac:dyDescent="0.25">
      <c r="A17" s="1"/>
      <c r="B17" s="24" t="s">
        <v>22</v>
      </c>
      <c r="C17" s="9">
        <v>-77355.098285937187</v>
      </c>
      <c r="D17" s="8" t="s">
        <v>3</v>
      </c>
      <c r="E17" s="1"/>
    </row>
    <row r="18" spans="1:5" x14ac:dyDescent="0.25">
      <c r="A18" s="1"/>
      <c r="B18" s="24" t="s">
        <v>23</v>
      </c>
      <c r="C18" s="9">
        <v>0</v>
      </c>
      <c r="D18" s="8" t="s">
        <v>3</v>
      </c>
      <c r="E18" s="1"/>
    </row>
    <row r="19" spans="1:5" x14ac:dyDescent="0.25">
      <c r="A19" s="1"/>
      <c r="B19" s="69" t="s">
        <v>19</v>
      </c>
      <c r="C19" s="10">
        <v>5760318.2186903646</v>
      </c>
      <c r="D19" s="11" t="s">
        <v>3</v>
      </c>
      <c r="E19" s="1"/>
    </row>
    <row r="20" spans="1:5" x14ac:dyDescent="0.25">
      <c r="A20" s="1"/>
      <c r="B20" s="51" t="s">
        <v>11</v>
      </c>
      <c r="C20" s="52"/>
      <c r="D20" s="19"/>
      <c r="E20" s="1"/>
    </row>
    <row r="21" spans="1:5" x14ac:dyDescent="0.25">
      <c r="A21" s="1"/>
      <c r="B21" s="53" t="s">
        <v>11</v>
      </c>
      <c r="C21" s="10">
        <v>2036359.1969409601</v>
      </c>
      <c r="D21" s="11" t="s">
        <v>3</v>
      </c>
      <c r="E21" s="1"/>
    </row>
    <row r="22" spans="1:5" x14ac:dyDescent="0.25">
      <c r="A22" s="1"/>
      <c r="B22" s="51" t="s">
        <v>75</v>
      </c>
      <c r="C22" s="52"/>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69" t="s">
        <v>76</v>
      </c>
      <c r="C27" s="56">
        <v>0</v>
      </c>
      <c r="D27" s="11" t="s">
        <v>3</v>
      </c>
      <c r="E27" s="1"/>
    </row>
    <row r="28" spans="1:5" x14ac:dyDescent="0.25">
      <c r="A28" s="1"/>
      <c r="B28" s="26" t="s">
        <v>117</v>
      </c>
      <c r="C28" s="52"/>
      <c r="D28" s="19"/>
      <c r="E28" s="1"/>
    </row>
    <row r="29" spans="1:5" x14ac:dyDescent="0.25">
      <c r="A29" s="1"/>
      <c r="B29" s="68" t="s">
        <v>118</v>
      </c>
      <c r="C29" s="10">
        <v>-208266.57517036999</v>
      </c>
      <c r="D29" s="11" t="s">
        <v>3</v>
      </c>
      <c r="E29" s="1"/>
    </row>
    <row r="30" spans="1:5" x14ac:dyDescent="0.25">
      <c r="A30" s="1"/>
      <c r="B30" s="26" t="s">
        <v>138</v>
      </c>
      <c r="C30" s="52"/>
      <c r="D30" s="19"/>
      <c r="E30" s="1"/>
    </row>
    <row r="31" spans="1:5" x14ac:dyDescent="0.25">
      <c r="A31" s="1"/>
      <c r="B31" s="68" t="s">
        <v>139</v>
      </c>
      <c r="C31" s="10">
        <v>0</v>
      </c>
      <c r="D31" s="11" t="s">
        <v>3</v>
      </c>
      <c r="E31" s="1"/>
    </row>
    <row r="32" spans="1:5" x14ac:dyDescent="0.25">
      <c r="A32" s="1"/>
      <c r="B32" s="51" t="s">
        <v>239</v>
      </c>
      <c r="C32" s="33">
        <v>7588410.8404609552</v>
      </c>
      <c r="D32" s="19" t="s">
        <v>3</v>
      </c>
      <c r="E32" s="1"/>
    </row>
    <row r="33" spans="1:5" ht="30" customHeight="1" x14ac:dyDescent="0.25">
      <c r="A33" s="1"/>
      <c r="B33" s="96" t="s">
        <v>240</v>
      </c>
      <c r="C33" s="96"/>
      <c r="D33" s="96"/>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vTB+/QcXac8X75cVstn+NdFtAt2StpTZoiLEYj4SQOJS0ZDZsLIna7jlgfyQtQhvD2BPohM3xpEuJBLMtPLnTQ==" saltValue="9sORq1ML9xw4/GtDIdex/w=="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7" t="s">
        <v>90</v>
      </c>
      <c r="C1" s="97"/>
      <c r="D1" s="97"/>
      <c r="E1" s="97"/>
      <c r="F1" s="97"/>
      <c r="G1" s="97"/>
      <c r="H1" s="97"/>
      <c r="I1" s="1"/>
    </row>
    <row r="2" spans="1:9" ht="15" customHeight="1" x14ac:dyDescent="0.25">
      <c r="A2" s="1"/>
      <c r="B2" s="97"/>
      <c r="C2" s="97"/>
      <c r="D2" s="97"/>
      <c r="E2" s="97"/>
      <c r="F2" s="97"/>
      <c r="G2" s="97"/>
      <c r="H2" s="97"/>
      <c r="I2" s="1"/>
    </row>
    <row r="3" spans="1:9" ht="15" customHeight="1" x14ac:dyDescent="0.25">
      <c r="A3" s="1"/>
      <c r="B3" s="97"/>
      <c r="C3" s="97"/>
      <c r="D3" s="97"/>
      <c r="E3" s="97"/>
      <c r="F3" s="97"/>
      <c r="G3" s="97"/>
      <c r="H3" s="97"/>
      <c r="I3" s="1"/>
    </row>
    <row r="4" spans="1:9" x14ac:dyDescent="0.25">
      <c r="A4" s="1"/>
      <c r="B4" s="104" t="s">
        <v>44</v>
      </c>
      <c r="C4" s="105"/>
      <c r="D4" s="105"/>
      <c r="E4" s="105"/>
      <c r="F4" s="105"/>
      <c r="G4" s="105"/>
      <c r="H4" s="106"/>
      <c r="I4" s="1"/>
    </row>
    <row r="5" spans="1:9" x14ac:dyDescent="0.25">
      <c r="A5" s="1"/>
      <c r="B5" s="98" t="s">
        <v>36</v>
      </c>
      <c r="C5" s="99"/>
      <c r="D5" s="99"/>
      <c r="E5" s="99"/>
      <c r="F5" s="100"/>
      <c r="G5" s="47">
        <v>3113747.0018212935</v>
      </c>
      <c r="H5" s="14" t="s">
        <v>3</v>
      </c>
      <c r="I5" s="1"/>
    </row>
    <row r="6" spans="1:9" x14ac:dyDescent="0.25">
      <c r="A6" s="1"/>
      <c r="B6" s="98" t="s">
        <v>37</v>
      </c>
      <c r="C6" s="99"/>
      <c r="D6" s="99"/>
      <c r="E6" s="99"/>
      <c r="F6" s="100"/>
      <c r="G6" s="22">
        <f>G5*'Fane 13. Nøgletal'!C33</f>
        <v>62274.940036425869</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104" t="s">
        <v>45</v>
      </c>
      <c r="C9" s="105"/>
      <c r="D9" s="105"/>
      <c r="E9" s="105"/>
      <c r="F9" s="105"/>
      <c r="G9" s="105"/>
      <c r="H9" s="106"/>
      <c r="I9" s="1"/>
    </row>
    <row r="10" spans="1:9" x14ac:dyDescent="0.25">
      <c r="A10" s="1"/>
      <c r="B10" s="98" t="s">
        <v>38</v>
      </c>
      <c r="C10" s="99"/>
      <c r="D10" s="99"/>
      <c r="E10" s="99"/>
      <c r="F10" s="100"/>
      <c r="G10" s="22">
        <f>(G5-G6)*(1+'Fane 13. Nøgletal'!C9)</f>
        <v>3090225.7569695353</v>
      </c>
      <c r="H10" s="14" t="s">
        <v>3</v>
      </c>
      <c r="I10" s="1"/>
    </row>
    <row r="11" spans="1:9" x14ac:dyDescent="0.25">
      <c r="A11" s="1"/>
      <c r="B11" s="101" t="s">
        <v>228</v>
      </c>
      <c r="C11" s="102"/>
      <c r="D11" s="102"/>
      <c r="E11" s="102"/>
      <c r="F11" s="103"/>
      <c r="G11" s="47">
        <v>0</v>
      </c>
      <c r="H11" s="14" t="s">
        <v>3</v>
      </c>
      <c r="I11" s="1"/>
    </row>
    <row r="12" spans="1:9" x14ac:dyDescent="0.25">
      <c r="A12" s="1"/>
      <c r="B12" s="98" t="s">
        <v>39</v>
      </c>
      <c r="C12" s="99"/>
      <c r="D12" s="99"/>
      <c r="E12" s="99"/>
      <c r="F12" s="100"/>
      <c r="G12" s="22">
        <f>(G10+G11)*'Fane 13. Nøgletal'!C33</f>
        <v>61804.515139390707</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104" t="s">
        <v>46</v>
      </c>
      <c r="C15" s="105"/>
      <c r="D15" s="105"/>
      <c r="E15" s="105"/>
      <c r="F15" s="105"/>
      <c r="G15" s="105"/>
      <c r="H15" s="106"/>
      <c r="I15" s="1"/>
    </row>
    <row r="16" spans="1:9" x14ac:dyDescent="0.25">
      <c r="A16" s="1"/>
      <c r="B16" s="98" t="s">
        <v>40</v>
      </c>
      <c r="C16" s="99"/>
      <c r="D16" s="99"/>
      <c r="E16" s="99"/>
      <c r="F16" s="100"/>
      <c r="G16" s="22">
        <f>(G10+G11-G12)*(1+'Fane 13. Nøgletal'!C11)</f>
        <v>3079601.5608170736</v>
      </c>
      <c r="H16" s="14" t="s">
        <v>3</v>
      </c>
      <c r="I16" s="1"/>
    </row>
    <row r="17" spans="1:9" x14ac:dyDescent="0.25">
      <c r="A17" s="1"/>
      <c r="B17" s="98" t="s">
        <v>100</v>
      </c>
      <c r="C17" s="99"/>
      <c r="D17" s="99"/>
      <c r="E17" s="99"/>
      <c r="F17" s="100"/>
      <c r="G17" s="47">
        <v>0</v>
      </c>
      <c r="H17" s="14" t="s">
        <v>3</v>
      </c>
      <c r="I17" s="1"/>
    </row>
    <row r="18" spans="1:9" x14ac:dyDescent="0.25">
      <c r="A18" s="1"/>
      <c r="B18" s="101" t="s">
        <v>229</v>
      </c>
      <c r="C18" s="102"/>
      <c r="D18" s="102"/>
      <c r="E18" s="102"/>
      <c r="F18" s="103"/>
      <c r="G18" s="47">
        <v>0</v>
      </c>
      <c r="H18" s="14" t="s">
        <v>3</v>
      </c>
      <c r="I18" s="1"/>
    </row>
    <row r="19" spans="1:9" x14ac:dyDescent="0.25">
      <c r="A19" s="1"/>
      <c r="B19" s="98" t="s">
        <v>41</v>
      </c>
      <c r="C19" s="99"/>
      <c r="D19" s="99"/>
      <c r="E19" s="99"/>
      <c r="F19" s="100"/>
      <c r="G19" s="22">
        <f>SUM(G16:G18)*'Fane 13. Nøgletal'!C33</f>
        <v>61592.031216341471</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104" t="s">
        <v>47</v>
      </c>
      <c r="C22" s="105"/>
      <c r="D22" s="105"/>
      <c r="E22" s="105"/>
      <c r="F22" s="105"/>
      <c r="G22" s="105"/>
      <c r="H22" s="106"/>
      <c r="I22" s="1"/>
    </row>
    <row r="23" spans="1:9" x14ac:dyDescent="0.25">
      <c r="A23" s="1"/>
      <c r="B23" s="98" t="s">
        <v>42</v>
      </c>
      <c r="C23" s="99"/>
      <c r="D23" s="99"/>
      <c r="E23" s="99"/>
      <c r="F23" s="100"/>
      <c r="G23" s="22">
        <f>(SUM(G16:G18)-G19)*(1+'Fane 13. Nøgletal'!C11)</f>
        <v>3069013.8906509844</v>
      </c>
      <c r="H23" s="14" t="s">
        <v>3</v>
      </c>
      <c r="I23" s="1"/>
    </row>
    <row r="24" spans="1:9" x14ac:dyDescent="0.25">
      <c r="A24" s="1"/>
      <c r="B24" s="101" t="s">
        <v>230</v>
      </c>
      <c r="C24" s="102"/>
      <c r="D24" s="102"/>
      <c r="E24" s="102"/>
      <c r="F24" s="103"/>
      <c r="G24" s="47">
        <v>0</v>
      </c>
      <c r="H24" s="14" t="s">
        <v>3</v>
      </c>
      <c r="I24" s="1"/>
    </row>
    <row r="25" spans="1:9" x14ac:dyDescent="0.25">
      <c r="A25" s="1"/>
      <c r="B25" s="98" t="s">
        <v>43</v>
      </c>
      <c r="C25" s="99"/>
      <c r="D25" s="99"/>
      <c r="E25" s="99"/>
      <c r="F25" s="100"/>
      <c r="G25" s="22">
        <f>(G23+G24)*'Fane 13. Nøgletal'!C33</f>
        <v>61380.277813019689</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104" t="s">
        <v>121</v>
      </c>
      <c r="C28" s="105"/>
      <c r="D28" s="105"/>
      <c r="E28" s="105"/>
      <c r="F28" s="105"/>
      <c r="G28" s="105"/>
      <c r="H28" s="106"/>
      <c r="I28" s="1"/>
    </row>
    <row r="29" spans="1:9" x14ac:dyDescent="0.25">
      <c r="A29" s="1"/>
      <c r="B29" s="98" t="s">
        <v>50</v>
      </c>
      <c r="C29" s="99"/>
      <c r="D29" s="99"/>
      <c r="E29" s="99"/>
      <c r="F29" s="100"/>
      <c r="G29" s="22">
        <f>(G23+G24-G25)*(1+'Fane 13. Nøgletal'!C13)</f>
        <v>3044326.7429145877</v>
      </c>
      <c r="H29" s="14" t="s">
        <v>3</v>
      </c>
      <c r="I29" s="1"/>
    </row>
    <row r="30" spans="1:9" x14ac:dyDescent="0.25">
      <c r="A30" s="1"/>
      <c r="B30" s="98" t="s">
        <v>231</v>
      </c>
      <c r="C30" s="99"/>
      <c r="D30" s="99"/>
      <c r="E30" s="99"/>
      <c r="F30" s="100"/>
      <c r="G30" s="47">
        <v>0</v>
      </c>
      <c r="H30" s="14" t="s">
        <v>3</v>
      </c>
      <c r="I30" s="1"/>
    </row>
    <row r="31" spans="1:9" x14ac:dyDescent="0.25">
      <c r="A31" s="1"/>
      <c r="B31" s="98" t="s">
        <v>115</v>
      </c>
      <c r="C31" s="99"/>
      <c r="D31" s="99"/>
      <c r="E31" s="99"/>
      <c r="F31" s="100"/>
      <c r="G31" s="22">
        <f>(G29+G30)*'Fane 13. Nøgletal'!C33</f>
        <v>60886.534858291758</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104" t="s">
        <v>122</v>
      </c>
      <c r="C34" s="105"/>
      <c r="D34" s="105"/>
      <c r="E34" s="105"/>
      <c r="F34" s="105"/>
      <c r="G34" s="105"/>
      <c r="H34" s="106"/>
      <c r="I34" s="1"/>
    </row>
    <row r="35" spans="1:9" x14ac:dyDescent="0.25">
      <c r="A35" s="1"/>
      <c r="B35" s="98" t="s">
        <v>69</v>
      </c>
      <c r="C35" s="99"/>
      <c r="D35" s="99"/>
      <c r="E35" s="99"/>
      <c r="F35" s="100"/>
      <c r="G35" s="22">
        <f>(G29+G30-G31)*(1+'Fane 13. Nøgletal'!C13)</f>
        <v>3019838.1785945827</v>
      </c>
      <c r="H35" s="14" t="s">
        <v>3</v>
      </c>
      <c r="I35" s="1"/>
    </row>
    <row r="36" spans="1:9" x14ac:dyDescent="0.25">
      <c r="A36" s="1"/>
      <c r="B36" s="98" t="s">
        <v>232</v>
      </c>
      <c r="C36" s="99"/>
      <c r="D36" s="99"/>
      <c r="E36" s="99"/>
      <c r="F36" s="100"/>
      <c r="G36" s="47">
        <v>0</v>
      </c>
      <c r="H36" s="14" t="s">
        <v>3</v>
      </c>
      <c r="I36" s="1"/>
    </row>
    <row r="37" spans="1:9" x14ac:dyDescent="0.25">
      <c r="A37" s="1"/>
      <c r="B37" s="98" t="s">
        <v>123</v>
      </c>
      <c r="C37" s="99"/>
      <c r="D37" s="99"/>
      <c r="E37" s="99"/>
      <c r="F37" s="100"/>
      <c r="G37" s="22">
        <f>(G35+G36)*'Fane 13. Nøgletal'!C33</f>
        <v>60396.763571891657</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104" t="s">
        <v>157</v>
      </c>
      <c r="C40" s="105"/>
      <c r="D40" s="105"/>
      <c r="E40" s="105"/>
      <c r="F40" s="105"/>
      <c r="G40" s="105"/>
      <c r="H40" s="106"/>
      <c r="I40" s="1"/>
    </row>
    <row r="41" spans="1:9" x14ac:dyDescent="0.25">
      <c r="A41" s="1"/>
      <c r="B41" s="98" t="s">
        <v>68</v>
      </c>
      <c r="C41" s="99"/>
      <c r="D41" s="99"/>
      <c r="E41" s="99"/>
      <c r="F41" s="100"/>
      <c r="G41" s="22">
        <f>(G35+G36-G37)*(1+'Fane 13. Nøgletal'!C15)</f>
        <v>3064797.5293974993</v>
      </c>
      <c r="H41" s="14" t="s">
        <v>3</v>
      </c>
      <c r="I41" s="1"/>
    </row>
    <row r="42" spans="1:9" x14ac:dyDescent="0.25">
      <c r="A42" s="1"/>
      <c r="B42" s="98" t="s">
        <v>156</v>
      </c>
      <c r="C42" s="99"/>
      <c r="D42" s="99"/>
      <c r="E42" s="99"/>
      <c r="F42" s="100"/>
      <c r="G42" s="22">
        <v>802957.38489936013</v>
      </c>
      <c r="H42" s="14" t="s">
        <v>3</v>
      </c>
      <c r="I42" s="1"/>
    </row>
    <row r="43" spans="1:9" x14ac:dyDescent="0.25">
      <c r="A43" s="1"/>
      <c r="B43" s="98" t="s">
        <v>166</v>
      </c>
      <c r="C43" s="99"/>
      <c r="D43" s="99"/>
      <c r="E43" s="99"/>
      <c r="F43" s="100"/>
      <c r="G43" s="22">
        <f>(G41+G42)*'Fane 13. Nøgletal'!C33</f>
        <v>77355.098285937187</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104" t="s">
        <v>158</v>
      </c>
      <c r="C46" s="105"/>
      <c r="D46" s="105"/>
      <c r="E46" s="105"/>
      <c r="F46" s="105"/>
      <c r="G46" s="105"/>
      <c r="H46" s="106"/>
      <c r="I46" s="1"/>
    </row>
    <row r="47" spans="1:9" x14ac:dyDescent="0.25">
      <c r="A47" s="1"/>
      <c r="B47" s="98" t="s">
        <v>112</v>
      </c>
      <c r="C47" s="99"/>
      <c r="D47" s="99"/>
      <c r="E47" s="99"/>
      <c r="F47" s="100"/>
      <c r="G47" s="22">
        <f>(G41+G42-G43)*(1+'Fane 13. Nøgletal'!C15)</f>
        <v>3925338.0494609112</v>
      </c>
      <c r="H47" s="14" t="s">
        <v>3</v>
      </c>
      <c r="I47" s="1"/>
    </row>
    <row r="48" spans="1:9" x14ac:dyDescent="0.25">
      <c r="A48" s="1"/>
      <c r="B48" s="98" t="s">
        <v>206</v>
      </c>
      <c r="C48" s="99"/>
      <c r="D48" s="99"/>
      <c r="E48" s="99"/>
      <c r="F48" s="100"/>
      <c r="G48" s="55">
        <f>('Fane 2.1. Økonomisk ramme 2024'!C9+'Fane 2.1. Økonomisk ramme 2024'!C11+'Fane 2.1. Økonomisk ramme 2024'!C13)*(1+'Fane 13. Nøgletal'!C16)</f>
        <v>0</v>
      </c>
      <c r="H48" s="14" t="s">
        <v>3</v>
      </c>
      <c r="I48" s="1"/>
    </row>
    <row r="49" spans="1:9" x14ac:dyDescent="0.25">
      <c r="A49" s="1"/>
      <c r="B49" s="98" t="s">
        <v>167</v>
      </c>
      <c r="C49" s="99"/>
      <c r="D49" s="99"/>
      <c r="E49" s="99"/>
      <c r="F49" s="100"/>
      <c r="G49" s="22">
        <f>G47*'Fane 13. Nøgletal'!C33+G48*'Fane 13. Nøgletal'!C33</f>
        <v>78506.760989218223</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104" t="s">
        <v>133</v>
      </c>
      <c r="C52" s="105"/>
      <c r="D52" s="105"/>
      <c r="E52" s="105"/>
      <c r="F52" s="105"/>
      <c r="G52" s="105"/>
      <c r="H52" s="106"/>
      <c r="I52" s="1"/>
    </row>
    <row r="53" spans="1:9" x14ac:dyDescent="0.25">
      <c r="A53" s="1"/>
      <c r="B53" s="98" t="s">
        <v>134</v>
      </c>
      <c r="C53" s="99"/>
      <c r="D53" s="99"/>
      <c r="E53" s="99"/>
      <c r="F53" s="100"/>
      <c r="G53" s="22">
        <f>(G47+G48-G49)*(1+'Fane 13. Nøgletal'!C16)</f>
        <v>4157655.2565802061</v>
      </c>
      <c r="H53" s="14" t="s">
        <v>3</v>
      </c>
      <c r="I53" s="1"/>
    </row>
    <row r="54" spans="1:9" x14ac:dyDescent="0.25">
      <c r="A54" s="1"/>
      <c r="B54" s="98" t="s">
        <v>135</v>
      </c>
      <c r="C54" s="99"/>
      <c r="D54" s="99"/>
      <c r="E54" s="99"/>
      <c r="F54" s="100"/>
      <c r="G54" s="22">
        <f>(G53)*'Fane 13. Nøgletal'!C33</f>
        <v>83153.105131604127</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104" t="s">
        <v>144</v>
      </c>
      <c r="C57" s="105"/>
      <c r="D57" s="105"/>
      <c r="E57" s="105"/>
      <c r="F57" s="105"/>
      <c r="G57" s="105"/>
      <c r="H57" s="106"/>
      <c r="I57" s="1"/>
    </row>
    <row r="58" spans="1:9" x14ac:dyDescent="0.25">
      <c r="A58" s="1"/>
      <c r="B58" s="98" t="s">
        <v>145</v>
      </c>
      <c r="C58" s="99"/>
      <c r="D58" s="99"/>
      <c r="E58" s="99"/>
      <c r="F58" s="100"/>
      <c r="G58" s="22">
        <f>(G53-G54)*(1+'Fane 13. Nøgletal'!C16)</f>
        <v>4403721.9252856486</v>
      </c>
      <c r="H58" s="14" t="s">
        <v>3</v>
      </c>
      <c r="I58" s="1"/>
    </row>
    <row r="59" spans="1:9" x14ac:dyDescent="0.25">
      <c r="A59" s="1"/>
      <c r="B59" s="98" t="s">
        <v>146</v>
      </c>
      <c r="C59" s="99"/>
      <c r="D59" s="99"/>
      <c r="E59" s="99"/>
      <c r="F59" s="100"/>
      <c r="G59" s="22">
        <f>(G58)*'Fane 13. Nøgletal'!C33</f>
        <v>88074.438505712969</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104" t="s">
        <v>220</v>
      </c>
      <c r="C62" s="105"/>
      <c r="D62" s="105"/>
      <c r="E62" s="105"/>
      <c r="F62" s="105"/>
      <c r="G62" s="105"/>
      <c r="H62" s="106"/>
      <c r="I62" s="1"/>
    </row>
    <row r="63" spans="1:9" x14ac:dyDescent="0.25">
      <c r="A63" s="1"/>
      <c r="B63" s="98" t="s">
        <v>221</v>
      </c>
      <c r="C63" s="99"/>
      <c r="D63" s="99"/>
      <c r="E63" s="99"/>
      <c r="F63" s="100"/>
      <c r="G63" s="22">
        <f>(G58-G59)*(1+'Fane 13. Nøgletal'!C16)</f>
        <v>4664351.8037117543</v>
      </c>
      <c r="H63" s="14" t="s">
        <v>3</v>
      </c>
      <c r="I63" s="1"/>
    </row>
    <row r="64" spans="1:9" x14ac:dyDescent="0.25">
      <c r="A64" s="1"/>
      <c r="B64" s="98" t="s">
        <v>222</v>
      </c>
      <c r="C64" s="99"/>
      <c r="D64" s="99"/>
      <c r="E64" s="99"/>
      <c r="F64" s="100"/>
      <c r="G64" s="22">
        <f>(G63)*'Fane 13. Nøgletal'!C33</f>
        <v>93287.036074235089</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Xibrs9rHNw+Sxn8ktu/kdXDsHO01tyIGbmge+S3h/NrN3lLK0PZEgdTqctvn6aQj9hPSBT2Q0zTSSkNEm+dLXg==" saltValue="E7FBIMb/rUBwg1X22aC/bw=="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7" t="s">
        <v>91</v>
      </c>
      <c r="C1" s="108"/>
      <c r="D1" s="108"/>
      <c r="E1" s="108"/>
      <c r="F1" s="108"/>
      <c r="G1" s="108"/>
      <c r="H1" s="108"/>
      <c r="I1" s="1"/>
    </row>
    <row r="2" spans="1:9" ht="19.899999999999999" customHeight="1" x14ac:dyDescent="0.25">
      <c r="A2" s="1"/>
      <c r="B2" s="108"/>
      <c r="C2" s="108"/>
      <c r="D2" s="108"/>
      <c r="E2" s="108"/>
      <c r="F2" s="108"/>
      <c r="G2" s="108"/>
      <c r="H2" s="108"/>
      <c r="I2" s="1"/>
    </row>
    <row r="3" spans="1:9" ht="15" customHeight="1" x14ac:dyDescent="0.25">
      <c r="A3" s="1"/>
      <c r="B3" s="109"/>
      <c r="C3" s="109"/>
      <c r="D3" s="109"/>
      <c r="E3" s="109"/>
      <c r="F3" s="109"/>
      <c r="G3" s="109"/>
      <c r="H3" s="109"/>
      <c r="I3" s="1"/>
    </row>
    <row r="4" spans="1:9" x14ac:dyDescent="0.25">
      <c r="A4" s="1"/>
      <c r="B4" s="104" t="s">
        <v>48</v>
      </c>
      <c r="C4" s="105"/>
      <c r="D4" s="105"/>
      <c r="E4" s="105"/>
      <c r="F4" s="105"/>
      <c r="G4" s="105"/>
      <c r="H4" s="106"/>
      <c r="I4" s="1"/>
    </row>
    <row r="5" spans="1:9" x14ac:dyDescent="0.25">
      <c r="A5" s="1"/>
      <c r="B5" s="98" t="s">
        <v>51</v>
      </c>
      <c r="C5" s="99"/>
      <c r="D5" s="99"/>
      <c r="E5" s="99"/>
      <c r="F5" s="100"/>
      <c r="G5" s="47">
        <v>2475756.0547162858</v>
      </c>
      <c r="H5" s="14" t="s">
        <v>3</v>
      </c>
      <c r="I5" s="1"/>
    </row>
    <row r="6" spans="1:9" x14ac:dyDescent="0.25">
      <c r="A6" s="1"/>
      <c r="B6" s="98" t="s">
        <v>49</v>
      </c>
      <c r="C6" s="99"/>
      <c r="D6" s="99"/>
      <c r="E6" s="99"/>
      <c r="F6" s="100"/>
      <c r="G6" s="22">
        <f>G5*'Fane 13. Nøgletal'!C21</f>
        <v>22529.380097918201</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104" t="s">
        <v>52</v>
      </c>
      <c r="C9" s="105"/>
      <c r="D9" s="105"/>
      <c r="E9" s="105"/>
      <c r="F9" s="105"/>
      <c r="G9" s="105"/>
      <c r="H9" s="106"/>
      <c r="I9" s="1"/>
    </row>
    <row r="10" spans="1:9" x14ac:dyDescent="0.25">
      <c r="A10" s="1"/>
      <c r="B10" s="98" t="s">
        <v>53</v>
      </c>
      <c r="C10" s="99"/>
      <c r="D10" s="99"/>
      <c r="E10" s="99"/>
      <c r="F10" s="100"/>
      <c r="G10" s="22">
        <f>(G5-G6)*(1+'Fane 13. Nøgletal'!C9)</f>
        <v>2484382.6533860206</v>
      </c>
      <c r="H10" s="14" t="s">
        <v>3</v>
      </c>
      <c r="I10" s="1"/>
    </row>
    <row r="11" spans="1:9" x14ac:dyDescent="0.25">
      <c r="A11" s="1"/>
      <c r="B11" s="101" t="s">
        <v>54</v>
      </c>
      <c r="C11" s="102"/>
      <c r="D11" s="102"/>
      <c r="E11" s="102"/>
      <c r="F11" s="103"/>
      <c r="G11" s="48">
        <v>0</v>
      </c>
      <c r="H11" s="14" t="s">
        <v>3</v>
      </c>
      <c r="I11" s="1"/>
    </row>
    <row r="12" spans="1:9" x14ac:dyDescent="0.25">
      <c r="A12" s="1"/>
      <c r="B12" s="98" t="s">
        <v>55</v>
      </c>
      <c r="C12" s="99"/>
      <c r="D12" s="99"/>
      <c r="E12" s="99"/>
      <c r="F12" s="100"/>
      <c r="G12" s="22">
        <f>G10*'Fane 13. Nøgletal'!C21+G11*'Fane 13. Nøgletal'!C22</f>
        <v>22607.88214581279</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104" t="s">
        <v>56</v>
      </c>
      <c r="C15" s="105"/>
      <c r="D15" s="105"/>
      <c r="E15" s="105"/>
      <c r="F15" s="105"/>
      <c r="G15" s="105"/>
      <c r="H15" s="106"/>
      <c r="I15" s="1"/>
    </row>
    <row r="16" spans="1:9" x14ac:dyDescent="0.25">
      <c r="A16" s="1"/>
      <c r="B16" s="98" t="s">
        <v>57</v>
      </c>
      <c r="C16" s="99"/>
      <c r="D16" s="99"/>
      <c r="E16" s="99"/>
      <c r="F16" s="100"/>
      <c r="G16" s="22">
        <f>(G10+G11-G12)*(1+'Fane 13. Nøgletal'!C11)</f>
        <v>2503378.7648741673</v>
      </c>
      <c r="H16" s="14" t="s">
        <v>3</v>
      </c>
      <c r="I16" s="1"/>
    </row>
    <row r="17" spans="1:9" x14ac:dyDescent="0.25">
      <c r="A17" s="1"/>
      <c r="B17" s="98" t="s">
        <v>101</v>
      </c>
      <c r="C17" s="99"/>
      <c r="D17" s="99"/>
      <c r="E17" s="99"/>
      <c r="F17" s="100"/>
      <c r="G17" s="47">
        <v>8861.6676455542656</v>
      </c>
      <c r="H17" s="14" t="s">
        <v>3</v>
      </c>
      <c r="I17" s="1"/>
    </row>
    <row r="18" spans="1:9" x14ac:dyDescent="0.25">
      <c r="A18" s="1"/>
      <c r="B18" s="101" t="s">
        <v>58</v>
      </c>
      <c r="C18" s="102"/>
      <c r="D18" s="102"/>
      <c r="E18" s="102"/>
      <c r="F18" s="103"/>
      <c r="G18" s="47">
        <v>0</v>
      </c>
      <c r="H18" s="14" t="s">
        <v>3</v>
      </c>
      <c r="I18" s="1"/>
    </row>
    <row r="19" spans="1:9" x14ac:dyDescent="0.25">
      <c r="A19" s="1"/>
      <c r="B19" s="98" t="s">
        <v>59</v>
      </c>
      <c r="C19" s="99"/>
      <c r="D19" s="99"/>
      <c r="E19" s="99"/>
      <c r="F19" s="100"/>
      <c r="G19" s="22">
        <f>(G16+G17+G18)*'Fane 13. Nøgletal'!C23</f>
        <v>21856.491762921574</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104" t="s">
        <v>60</v>
      </c>
      <c r="C22" s="105"/>
      <c r="D22" s="105"/>
      <c r="E22" s="105"/>
      <c r="F22" s="105"/>
      <c r="G22" s="105"/>
      <c r="H22" s="106"/>
      <c r="I22" s="1"/>
    </row>
    <row r="23" spans="1:9" x14ac:dyDescent="0.25">
      <c r="A23" s="1"/>
      <c r="B23" s="98" t="s">
        <v>61</v>
      </c>
      <c r="C23" s="99"/>
      <c r="D23" s="99"/>
      <c r="E23" s="99"/>
      <c r="F23" s="100"/>
      <c r="G23" s="22">
        <f>(SUM(G16:G18)-G19)*(1+'Fane 13. Nøgletal'!C11)</f>
        <v>2532471.4293555892</v>
      </c>
      <c r="H23" s="14" t="s">
        <v>3</v>
      </c>
      <c r="I23" s="1"/>
    </row>
    <row r="24" spans="1:9" x14ac:dyDescent="0.25">
      <c r="A24" s="1"/>
      <c r="B24" s="101" t="s">
        <v>62</v>
      </c>
      <c r="C24" s="102"/>
      <c r="D24" s="102"/>
      <c r="E24" s="102"/>
      <c r="F24" s="103"/>
      <c r="G24" s="47">
        <v>0</v>
      </c>
      <c r="H24" s="14" t="s">
        <v>3</v>
      </c>
      <c r="I24" s="1"/>
    </row>
    <row r="25" spans="1:9" x14ac:dyDescent="0.25">
      <c r="A25" s="1"/>
      <c r="B25" s="98" t="s">
        <v>63</v>
      </c>
      <c r="C25" s="99"/>
      <c r="D25" s="99"/>
      <c r="E25" s="99"/>
      <c r="F25" s="100"/>
      <c r="G25" s="22">
        <f>G23*'Fane 13. Nøgletal'!C23+G24*'Fane 13. Nøgletal'!C24</f>
        <v>22032.501435393624</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104" t="s">
        <v>119</v>
      </c>
      <c r="C28" s="105"/>
      <c r="D28" s="105"/>
      <c r="E28" s="105"/>
      <c r="F28" s="105"/>
      <c r="G28" s="105"/>
      <c r="H28" s="106"/>
      <c r="I28" s="1"/>
    </row>
    <row r="29" spans="1:9" x14ac:dyDescent="0.25">
      <c r="A29" s="1"/>
      <c r="B29" s="98" t="s">
        <v>64</v>
      </c>
      <c r="C29" s="99"/>
      <c r="D29" s="99"/>
      <c r="E29" s="99"/>
      <c r="F29" s="100"/>
      <c r="G29" s="22">
        <f>(G23+G24-G25)*(1+'Fane 13. Nøgletal'!C13)</f>
        <v>2541066.2828408219</v>
      </c>
      <c r="H29" s="14" t="s">
        <v>3</v>
      </c>
      <c r="I29" s="1"/>
    </row>
    <row r="30" spans="1:9" x14ac:dyDescent="0.25">
      <c r="A30" s="1"/>
      <c r="B30" s="98" t="s">
        <v>113</v>
      </c>
      <c r="C30" s="99"/>
      <c r="D30" s="99"/>
      <c r="E30" s="99"/>
      <c r="F30" s="100"/>
      <c r="G30" s="47">
        <v>0</v>
      </c>
      <c r="H30" s="14" t="s">
        <v>3</v>
      </c>
      <c r="I30" s="1"/>
    </row>
    <row r="31" spans="1:9" x14ac:dyDescent="0.25">
      <c r="A31" s="1"/>
      <c r="B31" s="98" t="s">
        <v>120</v>
      </c>
      <c r="C31" s="99"/>
      <c r="D31" s="99"/>
      <c r="E31" s="99"/>
      <c r="F31" s="100"/>
      <c r="G31" s="22">
        <f>(G29+G30)*'Fane 13. Nøgletal'!C25</f>
        <v>69879.322778122601</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104" t="s">
        <v>124</v>
      </c>
      <c r="C34" s="105"/>
      <c r="D34" s="105"/>
      <c r="E34" s="105"/>
      <c r="F34" s="105"/>
      <c r="G34" s="105"/>
      <c r="H34" s="106"/>
      <c r="I34" s="1"/>
    </row>
    <row r="35" spans="1:9" x14ac:dyDescent="0.25">
      <c r="A35" s="1"/>
      <c r="B35" s="98" t="s">
        <v>67</v>
      </c>
      <c r="C35" s="99"/>
      <c r="D35" s="99"/>
      <c r="E35" s="99"/>
      <c r="F35" s="100"/>
      <c r="G35" s="22">
        <f>(G29+G30-G31)*(1+'Fane 13. Nøgletal'!C13)</f>
        <v>2501335.4409754644</v>
      </c>
      <c r="H35" s="14" t="s">
        <v>3</v>
      </c>
      <c r="I35" s="1"/>
    </row>
    <row r="36" spans="1:9" x14ac:dyDescent="0.25">
      <c r="A36" s="1"/>
      <c r="B36" s="98" t="s">
        <v>129</v>
      </c>
      <c r="C36" s="99"/>
      <c r="D36" s="99"/>
      <c r="E36" s="99"/>
      <c r="F36" s="100"/>
      <c r="G36" s="55">
        <v>0</v>
      </c>
      <c r="H36" s="14" t="s">
        <v>3</v>
      </c>
      <c r="I36" s="1"/>
    </row>
    <row r="37" spans="1:9" x14ac:dyDescent="0.25">
      <c r="A37" s="1"/>
      <c r="B37" s="98" t="s">
        <v>125</v>
      </c>
      <c r="C37" s="99"/>
      <c r="D37" s="99"/>
      <c r="E37" s="99"/>
      <c r="F37" s="100"/>
      <c r="G37" s="22">
        <f>G35*'Fane 13. Nøgletal'!C25+G36*'Fane 13. Nøgletal'!C26</f>
        <v>68786.724626825278</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104" t="s">
        <v>159</v>
      </c>
      <c r="C40" s="105"/>
      <c r="D40" s="105"/>
      <c r="E40" s="105"/>
      <c r="F40" s="105"/>
      <c r="G40" s="105"/>
      <c r="H40" s="106"/>
      <c r="I40" s="1"/>
    </row>
    <row r="41" spans="1:9" x14ac:dyDescent="0.25">
      <c r="A41" s="1"/>
      <c r="B41" s="98" t="s">
        <v>66</v>
      </c>
      <c r="C41" s="99"/>
      <c r="D41" s="99"/>
      <c r="E41" s="99"/>
      <c r="F41" s="100"/>
      <c r="G41" s="22">
        <f>(G35+G36-G37)*(1+'Fane 13. Nøgletal'!C15)</f>
        <v>2519147.450650651</v>
      </c>
      <c r="H41" s="14" t="s">
        <v>3</v>
      </c>
      <c r="I41" s="1"/>
    </row>
    <row r="42" spans="1:9" x14ac:dyDescent="0.25">
      <c r="A42" s="1"/>
      <c r="B42" s="98" t="s">
        <v>169</v>
      </c>
      <c r="C42" s="99"/>
      <c r="D42" s="99"/>
      <c r="E42" s="99"/>
      <c r="F42" s="100"/>
      <c r="G42" s="9">
        <v>0</v>
      </c>
      <c r="H42" s="14" t="s">
        <v>3</v>
      </c>
      <c r="I42" s="1"/>
    </row>
    <row r="43" spans="1:9" x14ac:dyDescent="0.25">
      <c r="A43" s="1"/>
      <c r="B43" s="98" t="s">
        <v>65</v>
      </c>
      <c r="C43" s="99"/>
      <c r="D43" s="99"/>
      <c r="E43" s="99"/>
      <c r="F43" s="100"/>
      <c r="G43" s="55">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104" t="s">
        <v>160</v>
      </c>
      <c r="C46" s="105"/>
      <c r="D46" s="105"/>
      <c r="E46" s="105"/>
      <c r="F46" s="105"/>
      <c r="G46" s="105"/>
      <c r="H46" s="106"/>
      <c r="I46" s="1"/>
    </row>
    <row r="47" spans="1:9" x14ac:dyDescent="0.25">
      <c r="A47" s="1"/>
      <c r="B47" s="98" t="s">
        <v>114</v>
      </c>
      <c r="C47" s="99"/>
      <c r="D47" s="99"/>
      <c r="E47" s="99"/>
      <c r="F47" s="100"/>
      <c r="G47" s="22">
        <f>(G41+G42-G43)*(1+'Fane 13. Nøgletal'!C15)</f>
        <v>2608829.0998938144</v>
      </c>
      <c r="H47" s="14" t="s">
        <v>3</v>
      </c>
      <c r="I47" s="1"/>
    </row>
    <row r="48" spans="1:9" x14ac:dyDescent="0.25">
      <c r="A48" s="1"/>
      <c r="B48" s="98" t="s">
        <v>210</v>
      </c>
      <c r="C48" s="99"/>
      <c r="D48" s="99"/>
      <c r="E48" s="99"/>
      <c r="F48" s="100"/>
      <c r="G48" s="55">
        <f>('Fane 2.1. Økonomisk ramme 2024'!C10+'Fane 2.1. Økonomisk ramme 2024'!C12+'Fane 2.1. Økonomisk ramme 2024'!C14)*(1+'Fane 13. Nøgletal'!C16)</f>
        <v>0</v>
      </c>
      <c r="H48" s="14" t="s">
        <v>3</v>
      </c>
      <c r="I48" s="1"/>
    </row>
    <row r="49" spans="1:9" x14ac:dyDescent="0.25">
      <c r="A49" s="1"/>
      <c r="B49" s="98" t="s">
        <v>211</v>
      </c>
      <c r="C49" s="99"/>
      <c r="D49" s="99"/>
      <c r="E49" s="99"/>
      <c r="F49" s="100"/>
      <c r="G49" s="55">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104" t="s">
        <v>130</v>
      </c>
      <c r="C52" s="105"/>
      <c r="D52" s="105"/>
      <c r="E52" s="105"/>
      <c r="F52" s="105"/>
      <c r="G52" s="105"/>
      <c r="H52" s="106"/>
      <c r="I52" s="1"/>
    </row>
    <row r="53" spans="1:9" x14ac:dyDescent="0.25">
      <c r="A53" s="1"/>
      <c r="B53" s="98" t="s">
        <v>131</v>
      </c>
      <c r="C53" s="99"/>
      <c r="D53" s="99"/>
      <c r="E53" s="99"/>
      <c r="F53" s="100"/>
      <c r="G53" s="22">
        <f>(G47+G48-G49)*(1+'Fane 13. Nøgletal'!C16)</f>
        <v>2819622.4911652347</v>
      </c>
      <c r="H53" s="14" t="s">
        <v>3</v>
      </c>
      <c r="I53" s="1"/>
    </row>
    <row r="54" spans="1:9" x14ac:dyDescent="0.25">
      <c r="A54" s="1"/>
      <c r="B54" s="98" t="s">
        <v>132</v>
      </c>
      <c r="C54" s="99"/>
      <c r="D54" s="99"/>
      <c r="E54" s="99"/>
      <c r="F54" s="100"/>
      <c r="G54" s="55">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104" t="s">
        <v>147</v>
      </c>
      <c r="C57" s="105"/>
      <c r="D57" s="105"/>
      <c r="E57" s="105"/>
      <c r="F57" s="105"/>
      <c r="G57" s="105"/>
      <c r="H57" s="106"/>
      <c r="I57" s="1"/>
    </row>
    <row r="58" spans="1:9" x14ac:dyDescent="0.25">
      <c r="A58" s="1"/>
      <c r="B58" s="98" t="s">
        <v>148</v>
      </c>
      <c r="C58" s="99"/>
      <c r="D58" s="99"/>
      <c r="E58" s="99"/>
      <c r="F58" s="100"/>
      <c r="G58" s="22">
        <f>(G53-G54)*(1+'Fane 13. Nøgletal'!C16)</f>
        <v>3047447.9884513854</v>
      </c>
      <c r="H58" s="14" t="s">
        <v>3</v>
      </c>
      <c r="I58" s="1"/>
    </row>
    <row r="59" spans="1:9" x14ac:dyDescent="0.25">
      <c r="A59" s="1"/>
      <c r="B59" s="98" t="s">
        <v>149</v>
      </c>
      <c r="C59" s="99"/>
      <c r="D59" s="99"/>
      <c r="E59" s="99"/>
      <c r="F59" s="100"/>
      <c r="G59" s="55">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104" t="s">
        <v>223</v>
      </c>
      <c r="C62" s="105"/>
      <c r="D62" s="105"/>
      <c r="E62" s="105"/>
      <c r="F62" s="105"/>
      <c r="G62" s="105"/>
      <c r="H62" s="106"/>
      <c r="I62" s="1"/>
    </row>
    <row r="63" spans="1:9" x14ac:dyDescent="0.25">
      <c r="A63" s="1"/>
      <c r="B63" s="98" t="s">
        <v>224</v>
      </c>
      <c r="C63" s="99"/>
      <c r="D63" s="99"/>
      <c r="E63" s="99"/>
      <c r="F63" s="100"/>
      <c r="G63" s="22">
        <f>(G58-G59)*(1+'Fane 13. Nøgletal'!C16)</f>
        <v>3293681.7859182572</v>
      </c>
      <c r="H63" s="14" t="s">
        <v>3</v>
      </c>
      <c r="I63" s="1"/>
    </row>
    <row r="64" spans="1:9" x14ac:dyDescent="0.25">
      <c r="A64" s="1"/>
      <c r="B64" s="98" t="s">
        <v>225</v>
      </c>
      <c r="C64" s="99"/>
      <c r="D64" s="99"/>
      <c r="E64" s="99"/>
      <c r="F64" s="100"/>
      <c r="G64" s="55">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e2f3QipXHMSt2K+upaHrzlSjHfpJScV5ZW/r1VkISHRB1uj3NZyk0RjBW7hTN0ZJJuH3luaFFT/kZVmWKzlsIw==" saltValue="IcFb62KHeCLtlkREnAEOcQ=="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4" t="s">
        <v>77</v>
      </c>
      <c r="C3" s="94"/>
      <c r="D3" s="94"/>
      <c r="E3" s="94"/>
      <c r="F3" s="94"/>
      <c r="G3" s="94"/>
      <c r="H3" s="1"/>
    </row>
    <row r="4" spans="1:8" ht="15" customHeight="1" x14ac:dyDescent="0.25">
      <c r="A4" s="1"/>
      <c r="B4" s="94"/>
      <c r="C4" s="94"/>
      <c r="D4" s="94"/>
      <c r="E4" s="94"/>
      <c r="F4" s="94"/>
      <c r="G4" s="9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4" t="s">
        <v>9</v>
      </c>
      <c r="C8" s="105"/>
      <c r="D8" s="105"/>
      <c r="E8" s="105"/>
      <c r="F8" s="105"/>
      <c r="G8" s="106"/>
      <c r="H8" s="1"/>
    </row>
    <row r="9" spans="1:8" x14ac:dyDescent="0.25">
      <c r="A9" s="1"/>
      <c r="B9" s="64" t="s">
        <v>150</v>
      </c>
      <c r="C9" s="65"/>
      <c r="D9" s="65"/>
      <c r="E9" s="65"/>
      <c r="F9" s="66"/>
      <c r="G9" s="75">
        <v>4.9724509775119167E-3</v>
      </c>
      <c r="H9" s="1"/>
    </row>
    <row r="10" spans="1:8" x14ac:dyDescent="0.25">
      <c r="A10" s="1"/>
      <c r="B10" s="51"/>
      <c r="C10" s="52"/>
      <c r="D10" s="52"/>
      <c r="E10" s="52"/>
      <c r="F10" s="52"/>
      <c r="G10" s="19"/>
      <c r="H10" s="1"/>
    </row>
    <row r="11" spans="1:8" ht="15" customHeight="1" x14ac:dyDescent="0.25">
      <c r="A11" s="1"/>
      <c r="B11" s="110" t="s">
        <v>236</v>
      </c>
      <c r="C11" s="111"/>
      <c r="D11" s="111"/>
      <c r="E11" s="111"/>
      <c r="F11" s="111"/>
      <c r="G11" s="112"/>
      <c r="H11" s="1"/>
    </row>
    <row r="12" spans="1:8" ht="13.5" customHeight="1" x14ac:dyDescent="0.25">
      <c r="A12" s="1"/>
      <c r="B12" s="113"/>
      <c r="C12" s="114"/>
      <c r="D12" s="114"/>
      <c r="E12" s="114"/>
      <c r="F12" s="114"/>
      <c r="G12" s="11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QZkHPKmJp0eN5A3woFLy3QlgzYTt2YKffbRgIg/jTZO0605vJW7M4P2Aw+yFZ5U16KG1eiufVkmBY5lMHgS2kA==" saltValue="HGrXf11MmK88IPq3bwZczw=="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2023-08-18T14:10:56Z</dcterms:modified>
</cp:coreProperties>
</file>