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Billund Drikkevand AS (V020)\ØR2022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2" sheetId="2" r:id="rId2"/>
    <sheet name="Fane 2.2. Økonomisk ramme 2023" sheetId="3" r:id="rId3"/>
    <sheet name="Fane 2.3. Økonomisk ramme 2024" sheetId="4" r:id="rId4"/>
    <sheet name="Fane 2.4. Økonomisk ramme 2025" sheetId="5" r:id="rId5"/>
    <sheet name="Fane 3. Omkostninger i ØR2021" sheetId="6" r:id="rId6"/>
    <sheet name="Fane 4. Ikke-påvirkelige omk." sheetId="7" r:id="rId7"/>
    <sheet name="Fane 5. Kontrol af ØR2020" sheetId="8" r:id="rId8"/>
    <sheet name="Fane 6. Anlægsprojekter" sheetId="9" r:id="rId9"/>
    <sheet name="Fane 7.1. Varige tillæg" sheetId="10" r:id="rId10"/>
    <sheet name="Fane 7.2. Engangstillæg" sheetId="11" r:id="rId11"/>
    <sheet name="Fane 8. Tilknyttet virksomhed" sheetId="12" r:id="rId12"/>
    <sheet name="Fane 9. Bortfald" sheetId="13" r:id="rId13"/>
    <sheet name="Fane 10. Nøgletal" sheetId="14" r:id="rId14"/>
  </sheets>
  <definedNames>
    <definedName name="Z_61068CEC_D951_4EA8_B2F0_E3FAF0E2CE33_.wvu.Cols" localSheetId="1" hidden="1">'Fane 2.1. Økonomisk ramme 2022'!$C:$D</definedName>
    <definedName name="Z_61068CEC_D951_4EA8_B2F0_E3FAF0E2CE33_.wvu.Cols" localSheetId="2" hidden="1">'Fane 2.2. Økonomisk ramme 2023'!$C:$D</definedName>
    <definedName name="Z_61068CEC_D951_4EA8_B2F0_E3FAF0E2CE33_.wvu.Cols" localSheetId="3" hidden="1">'Fane 2.3. Økonomisk ramme 2024'!$C:$D</definedName>
    <definedName name="Z_61068CEC_D951_4EA8_B2F0_E3FAF0E2CE33_.wvu.Cols" localSheetId="4" hidden="1">'Fane 2.4. Økonomisk ramme 2025'!$C:$D</definedName>
  </definedNames>
  <calcPr calcId="162913"/>
  <customWorkbookViews>
    <customWorkbookView name="Anna Gammelby - Privat visning" guid="{61068CEC-D951-4EA8-B2F0-E3FAF0E2CE33}" mergeInterval="0" personalView="1" maximized="1" xWindow="-13" yWindow="-13" windowWidth="2586" windowHeight="1386" tabRatio="872" activeSheetId="2"/>
  </customWorkbookViews>
</workbook>
</file>

<file path=xl/calcChain.xml><?xml version="1.0" encoding="utf-8"?>
<calcChain xmlns="http://schemas.openxmlformats.org/spreadsheetml/2006/main">
  <c r="E33" i="8" l="1"/>
  <c r="E25" i="8" l="1"/>
  <c r="E35" i="8" s="1"/>
  <c r="E20" i="5" l="1"/>
  <c r="E20" i="4"/>
  <c r="E20" i="3"/>
  <c r="E29" i="8"/>
  <c r="E25" i="2" s="1"/>
  <c r="C14" i="7"/>
  <c r="E10" i="2" l="1"/>
  <c r="E14" i="6"/>
  <c r="C11" i="12" l="1"/>
  <c r="C12" i="12" s="1"/>
  <c r="C15" i="7"/>
  <c r="E15" i="6" l="1"/>
  <c r="E16" i="6" s="1"/>
  <c r="E26" i="6" s="1"/>
  <c r="E10" i="9" l="1"/>
  <c r="E29" i="13" l="1"/>
  <c r="E30" i="13" s="1"/>
  <c r="C29" i="13"/>
  <c r="C30" i="13" s="1"/>
  <c r="E23" i="13"/>
  <c r="E24" i="13" s="1"/>
  <c r="C23" i="13"/>
  <c r="C24" i="13" s="1"/>
  <c r="E17" i="13"/>
  <c r="E18" i="13" s="1"/>
  <c r="C17" i="13"/>
  <c r="C18" i="13" s="1"/>
  <c r="E9" i="5" l="1"/>
  <c r="E9" i="3"/>
  <c r="E9" i="4"/>
  <c r="E32" i="11"/>
  <c r="C32" i="11"/>
  <c r="E25" i="11"/>
  <c r="C25" i="11"/>
  <c r="E18" i="11"/>
  <c r="C18" i="11"/>
  <c r="E11" i="11"/>
  <c r="C11" i="11"/>
  <c r="E12" i="11" l="1"/>
  <c r="E13" i="11" s="1"/>
  <c r="C12" i="11"/>
  <c r="C13" i="11" s="1"/>
  <c r="E33" i="11"/>
  <c r="E34" i="11" s="1"/>
  <c r="E17" i="5" s="1"/>
  <c r="C33" i="11"/>
  <c r="C34" i="11" s="1"/>
  <c r="E16" i="5" s="1"/>
  <c r="E26" i="11"/>
  <c r="E27" i="11" s="1"/>
  <c r="E17" i="4" s="1"/>
  <c r="C26" i="11"/>
  <c r="C27" i="11" s="1"/>
  <c r="E16" i="4" s="1"/>
  <c r="E19" i="11"/>
  <c r="E20" i="11" s="1"/>
  <c r="E17" i="3" s="1"/>
  <c r="C19" i="11"/>
  <c r="C20" i="11" s="1"/>
  <c r="E16" i="3" s="1"/>
  <c r="E18" i="5" l="1"/>
  <c r="E21" i="2"/>
  <c r="E18" i="4"/>
  <c r="E20" i="2"/>
  <c r="E18" i="3" l="1"/>
  <c r="E22" i="2"/>
  <c r="E9" i="2" l="1"/>
  <c r="F11" i="9" l="1"/>
  <c r="C10" i="10" s="1"/>
  <c r="C12" i="10" s="1"/>
  <c r="C13" i="10" s="1"/>
  <c r="G11" i="9"/>
  <c r="E11" i="13" l="1"/>
  <c r="E12" i="13" s="1"/>
  <c r="C11" i="13"/>
  <c r="C12" i="13" s="1"/>
  <c r="E11" i="12"/>
  <c r="E12" i="12" s="1"/>
  <c r="E18" i="2" l="1"/>
  <c r="E14" i="5"/>
  <c r="E14" i="4"/>
  <c r="E14" i="3"/>
  <c r="E13" i="2" l="1"/>
  <c r="E12" i="2"/>
  <c r="E11" i="9" l="1"/>
  <c r="E10" i="10" s="1"/>
  <c r="E12" i="10" s="1"/>
  <c r="E13" i="10" l="1"/>
  <c r="E11" i="2" s="1"/>
  <c r="E14" i="2" l="1"/>
  <c r="E15" i="2" s="1"/>
  <c r="E16" i="2" s="1"/>
  <c r="E28" i="2" s="1"/>
  <c r="E8" i="3" l="1"/>
  <c r="E10" i="3" s="1"/>
  <c r="E11" i="3" s="1"/>
  <c r="E12" i="3" s="1"/>
  <c r="E21" i="3" s="1"/>
  <c r="E8" i="4" l="1"/>
  <c r="E10" i="4" l="1"/>
  <c r="E11" i="4" s="1"/>
  <c r="E12" i="4" s="1"/>
  <c r="E21" i="4" s="1"/>
  <c r="E8" i="5" l="1"/>
  <c r="E10" i="5" l="1"/>
  <c r="E11" i="5" l="1"/>
  <c r="E12" i="5" s="1"/>
  <c r="E21" i="5" s="1"/>
</calcChain>
</file>

<file path=xl/sharedStrings.xml><?xml version="1.0" encoding="utf-8"?>
<sst xmlns="http://schemas.openxmlformats.org/spreadsheetml/2006/main" count="408" uniqueCount="155">
  <si>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</si>
  <si>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</si>
  <si>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</si>
  <si>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</si>
  <si>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</si>
  <si>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</si>
  <si>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</si>
  <si>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4</t>
  </si>
  <si>
    <t>Fane 5</t>
  </si>
  <si>
    <t>Fane 9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</si>
  <si>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</si>
  <si>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</si>
  <si>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</si>
  <si>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</si>
  <si>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</si>
  <si>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</si>
  <si>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</si>
  <si>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</si>
  <si>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</si>
  <si>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</si>
  <si>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</si>
  <si>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</si>
  <si>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ØR2019</t>
  </si>
  <si>
    <t>Videreførte omkostninger fra den økonomiske ramme for 2020</t>
  </si>
  <si>
    <t>Videreførte omkostninger fra den økonomiske ramme for 2021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</si>
  <si>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</si>
  <si>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</si>
  <si>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</si>
  <si>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</si>
  <si>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</si>
  <si>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</si>
  <si>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Korrektion og kontrol med prisloft 2016</t>
  </si>
  <si>
    <t>Fane 2.3</t>
  </si>
  <si>
    <t>Fane 2.4</t>
  </si>
  <si>
    <t>Anlægsprojekter</t>
  </si>
  <si>
    <t>Bortfald</t>
  </si>
  <si>
    <t>Prisudvikling til brug for nye omkostninger i ØR2020</t>
  </si>
  <si>
    <t>Vejledende økonomisk ramme for 2023</t>
  </si>
  <si>
    <t>Nye varige tillæg</t>
  </si>
  <si>
    <t>Engangstillæg - Drift</t>
  </si>
  <si>
    <t>Engangstillæg - Anlæg</t>
  </si>
  <si>
    <t>Varige tillæg</t>
  </si>
  <si>
    <t>Engangstillæg</t>
  </si>
  <si>
    <t>Engangstillæg i alt</t>
  </si>
  <si>
    <t>Bortfald eller nedsættelse i alt i 2020-prisniveau</t>
  </si>
  <si>
    <t>Bortfald eller nedsættelse i alt i 2021-prisniveau</t>
  </si>
  <si>
    <t>Bortfald eller nedsættelse i alt i 2022-prisniveau</t>
  </si>
  <si>
    <t>Økonomisk ramme for 2023</t>
  </si>
  <si>
    <t>Bortfald eller nedsættelse fra og med de økonomiske rammer for 2022</t>
  </si>
  <si>
    <t>Bortfald eller nedsættelse fra og med de økonomiske rammer for 2023</t>
  </si>
  <si>
    <t>Fane 10</t>
  </si>
  <si>
    <t>Engangstillæg til de økonomiske rammer for 2022</t>
  </si>
  <si>
    <t>Engangstillæg til de økonomiske rammer for 2023</t>
  </si>
  <si>
    <t>Fane 4: Ikke-påvirkelige omkostninger</t>
  </si>
  <si>
    <t>Effektiviseringskrav</t>
  </si>
  <si>
    <t>Antal år i næste reguleringsperiode</t>
  </si>
  <si>
    <t>Fane 6</t>
  </si>
  <si>
    <t>Nøgletal</t>
  </si>
  <si>
    <t xml:space="preserve">Effektiviseringskrav </t>
  </si>
  <si>
    <t>Fane 3</t>
  </si>
  <si>
    <t>Nye tillæg</t>
  </si>
  <si>
    <t xml:space="preserve">Bortfald eller nedsættelse af omkostninger </t>
  </si>
  <si>
    <t>Bortfald eller nedsættelse af omkostninger</t>
  </si>
  <si>
    <t>Vejledende økonomisk ramme for 2024</t>
  </si>
  <si>
    <t>Tilknyttet virksomhed</t>
  </si>
  <si>
    <t>Tidligere tilknyttet virksomhed</t>
  </si>
  <si>
    <t>Videreførte omkostninger fra den økonomiske ramme for 2022</t>
  </si>
  <si>
    <t>Videreførte omkostninger fra den økonomiske ramme for 2023</t>
  </si>
  <si>
    <t>Økonomisk ramme for 2024</t>
  </si>
  <si>
    <t>Nye tillæg i alt i 2020-prisniveau</t>
  </si>
  <si>
    <t>Engangstillæg i alt i 2022-prisniveau</t>
  </si>
  <si>
    <t>Tilknyttet virksomhed under hovedvirksomheden</t>
  </si>
  <si>
    <t>Tilknyttet virksomhed under hovedvirksomheden i alt (2020-prisniveau)</t>
  </si>
  <si>
    <t>Bortfald eller nedsættelse fra og med de økonomiske rammer for 2024</t>
  </si>
  <si>
    <t>Prisudvikling til brug for nye omkostninger i ØR2021</t>
  </si>
  <si>
    <t>Engangstillæg i alt i 2023-prisniveau</t>
  </si>
  <si>
    <t>Engangstillæg i alt i 2024-prisniveau</t>
  </si>
  <si>
    <t>Engangstillæg til de økonomiske rammer for 2024</t>
  </si>
  <si>
    <t>Beskrivelse af tilknyttet virksomhed</t>
  </si>
  <si>
    <t>Anlægsprojekter igangsat senest den 1. marts 2016</t>
  </si>
  <si>
    <t>Anlægsprojekter igangsat senest den 1. marts 2016 i alt</t>
  </si>
  <si>
    <t>Anlægsprojekter igangsat senest 1. marts 2016</t>
  </si>
  <si>
    <t>Fane 7.1</t>
  </si>
  <si>
    <t>Fane 7.2</t>
  </si>
  <si>
    <t>Fane 8</t>
  </si>
  <si>
    <t>Kontrol med overholdelse af økonomiske rammer</t>
  </si>
  <si>
    <t>Kontrol med overholdelse af den økonomiske ramme</t>
  </si>
  <si>
    <t>Samlet økonomisk ramme for 2022</t>
  </si>
  <si>
    <t>Fane 6: Anlægsprojekter igangsat senest den 1. marts 2016</t>
  </si>
  <si>
    <t>Fane 7.1: Varige tillæg</t>
  </si>
  <si>
    <t>Fane 7.2: Engangstillæg</t>
  </si>
  <si>
    <t>Fane 8: Tilknyttet virksomhed under hovedvirksomheden</t>
  </si>
  <si>
    <t>Fane 9: Bortfald eller nedsættelse af omkostninger til mål, medfinansiering eller udvidelse</t>
  </si>
  <si>
    <t>Fane 10: Nøgletal</t>
  </si>
  <si>
    <t>Til økonomiske rammer for 2022</t>
  </si>
  <si>
    <t>Vejledende økonomisk ramme for 2025</t>
  </si>
  <si>
    <t>Omkostninger i ØR2021</t>
  </si>
  <si>
    <t>Kontrol af den økonomiske ramme for 2020</t>
  </si>
  <si>
    <t>Fane 2.1: Samlet økonomisk ramme for 2022</t>
  </si>
  <si>
    <t>Fane 2.2: Samlet økonomisk ramme for 2023</t>
  </si>
  <si>
    <t>Fane 2.3: Samlet økonomisk ramme for 2024</t>
  </si>
  <si>
    <t xml:space="preserve">Vejledende </t>
  </si>
  <si>
    <t>Fane 2.4: Samlet økonomisk ramme for 2025</t>
  </si>
  <si>
    <t>Videreførte omkostninger fra den økonomiske ramme for 2024</t>
  </si>
  <si>
    <t>Økonomisk ramme for 2025</t>
  </si>
  <si>
    <t>Fane 3: Videreførte omkostninger fra den økonomiske ramme for 2021</t>
  </si>
  <si>
    <t>Faktiske omkostninger i 2020</t>
  </si>
  <si>
    <t>Faktiske ikke-påvirkelige omkostninger i 2020</t>
  </si>
  <si>
    <t>Ikke-påvirkelige omkostninger i 2020-prisniveau</t>
  </si>
  <si>
    <t>Ikke-påvirkelige omkostninger i 2022-prisniveau</t>
  </si>
  <si>
    <t>Nye tillæg i alt i 2021-prisniveau</t>
  </si>
  <si>
    <t>Engangstillæg i alt i 2020-prisniveau</t>
  </si>
  <si>
    <t>Engangstillæg til de økonomiske rammer for 2025</t>
  </si>
  <si>
    <t>Engangstillæg i alt i 2025-prisniveau</t>
  </si>
  <si>
    <t>Tilknyttet virksomhed under hovedvirksomheden i alt (2021-prisniveau)</t>
  </si>
  <si>
    <t>Bortfald eller nedsættelse i alt i 2024-prisniveau</t>
  </si>
  <si>
    <t>Bortfald eller nedsættelse fra og med de økonomiske rammer for 2025</t>
  </si>
  <si>
    <t>Bortfald eller nedsættelse i alt i 2025-prisniveau</t>
  </si>
  <si>
    <t>Prisudvikling til brug for ØR2018-2021</t>
  </si>
  <si>
    <t>Prisudvikling til brug for nye omkostninger i ØR2022</t>
  </si>
  <si>
    <t xml:space="preserve">Note: Denne opgørelse er taget fra jeres afgørelse for den økonomiske ramme for 2021. I kan derfor ikke komme med høringssvar til denne opgørelse. </t>
  </si>
  <si>
    <t>- Heraf nye omkostninger i ØR21</t>
  </si>
  <si>
    <t>Kontrol med overholdelse af den økonomiske ramme for 2020</t>
  </si>
  <si>
    <t>Indtægtsramme i den økonomiske ramme for 2020</t>
  </si>
  <si>
    <t>Faktiske indtægter i 2020</t>
  </si>
  <si>
    <t>Difference (2020-prisniveau)</t>
  </si>
  <si>
    <t>Oversigt over den økonomiske ramme for 2021</t>
  </si>
  <si>
    <t>Prisudvikling til brug for ØR2017-2020</t>
  </si>
  <si>
    <t xml:space="preserve">Korrektion af grundlag </t>
  </si>
  <si>
    <t>Ingen tilknyttet virksomhed</t>
  </si>
  <si>
    <t>Afgift for ledningsført vand</t>
  </si>
  <si>
    <t>Afgift til Forsyningssekretariatet</t>
  </si>
  <si>
    <t>Køb af produkter og ydelser fra andre vandselskaber reguleret af vandsektorloven</t>
  </si>
  <si>
    <t>Ejendomsskat</t>
  </si>
  <si>
    <t>Ingen bortfald eller nedsættelse</t>
  </si>
  <si>
    <t>Tidligere opgjorte over/underdækninger</t>
  </si>
  <si>
    <t>Over/underdækning i 2017</t>
  </si>
  <si>
    <t>Over/underdækning i 2018</t>
  </si>
  <si>
    <t>Over/underdækning i 2019</t>
  </si>
  <si>
    <t>Note: Opgørelsen af overholdelse af de økonomiske rammer er taget fra jeres tidligere fremsendte økonomiske rammer og statusmeddelelser. I kan derfor ikke komme med høringssvar til denne opgørelse. Positive værdier er udtryk for at rammerne er overholdt(underdækning) og negative værdier er udtryk for at rammerne ikke er overholdt(overdækning).</t>
  </si>
  <si>
    <t>Allerede indregnet fradrag i jeres økonomiske rammer</t>
  </si>
  <si>
    <t>Indregnet fradrag i økonomisk ramme for 2021</t>
  </si>
  <si>
    <t>Indregnet fradrag i økonomisk ramme for 2022</t>
  </si>
  <si>
    <t xml:space="preserve">Note: Opgørelsen af over/underækningen er taget fra jeres tidligere fremsendte økonomiske rammer og statusmeddelelser. I kan derfor ikke komme med høringssvar til denne opgørelse. </t>
  </si>
  <si>
    <t>Korrektion af fradrag i den økonomiske ramme for 2022</t>
  </si>
  <si>
    <t>Tillæg/fradrag i den økonomiske ramme for 2022</t>
  </si>
  <si>
    <t>Til indregning i de økonomiske rammer for 2023-2026</t>
  </si>
  <si>
    <t>Kontrol med de økonomiske rammer til indregning</t>
  </si>
  <si>
    <t xml:space="preserve">Indtægter fra tilbagebetalt skat eller sambeskatningsbidrag som følge af skattesagen </t>
  </si>
  <si>
    <t xml:space="preserve">Nedsættelse af økonomisk ramme som følge af skattesagen </t>
  </si>
  <si>
    <t>Fradrag for kontrol af den økonomiske ramme</t>
  </si>
  <si>
    <t>Ingen anlægsprojekter</t>
  </si>
  <si>
    <t>Udvidelse af forsyningsområde</t>
  </si>
  <si>
    <t>Ingen engangstillæg</t>
  </si>
  <si>
    <t>Fane 5: Kontrol med overholdelse af den økonomiske ramme for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</si>
</sst>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color rgb="FF00000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109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7" borderId="1" xfId="0" applyNumberFormat="1" applyFont="1" applyFill="1" applyBorder="1" applyAlignment="1" applyProtection="1">
      <alignment wrapText="1"/>
    </xf>
    <xf numFmtId="3" fontId="8" fillId="7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7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0" fontId="8" fillId="4" borderId="2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7" borderId="1" xfId="0" applyNumberFormat="1" applyFont="1" applyFill="1" applyBorder="1" applyAlignment="1" applyProtection="1"/>
    <xf numFmtId="49" fontId="8" fillId="7" borderId="2" xfId="0" applyNumberFormat="1" applyFont="1" applyFill="1" applyBorder="1" applyAlignment="1" applyProtection="1"/>
    <xf numFmtId="10" fontId="8" fillId="7" borderId="1" xfId="3" applyNumberFormat="1" applyFont="1" applyFill="1" applyBorder="1" applyAlignment="1" applyProtection="1"/>
    <xf numFmtId="0" fontId="7" fillId="3" borderId="6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15" fillId="0" borderId="2" xfId="0" applyFont="1" applyFill="1" applyBorder="1" applyAlignment="1" applyProtection="1"/>
    <xf numFmtId="3" fontId="15" fillId="0" borderId="1" xfId="0" applyNumberFormat="1" applyFont="1" applyFill="1" applyBorder="1" applyProtection="1"/>
    <xf numFmtId="0" fontId="15" fillId="0" borderId="1" xfId="0" applyFont="1" applyFill="1" applyBorder="1" applyProtection="1"/>
    <xf numFmtId="0" fontId="8" fillId="7" borderId="2" xfId="0" applyFont="1" applyFill="1" applyBorder="1" applyAlignment="1" applyProtection="1"/>
    <xf numFmtId="0" fontId="8" fillId="7" borderId="1" xfId="0" quotePrefix="1" applyFont="1" applyFill="1" applyBorder="1" applyAlignment="1" applyProtection="1">
      <alignment horizontal="left" wrapText="1"/>
    </xf>
    <xf numFmtId="0" fontId="8" fillId="7" borderId="1" xfId="0" applyFont="1" applyFill="1" applyBorder="1" applyAlignment="1" applyProtection="1"/>
    <xf numFmtId="10" fontId="8" fillId="0" borderId="3" xfId="3" applyNumberFormat="1" applyFont="1" applyFill="1" applyBorder="1" applyAlignment="1" applyProtection="1"/>
    <xf numFmtId="0" fontId="15" fillId="7" borderId="1" xfId="0" applyFont="1" applyFill="1" applyBorder="1" applyAlignment="1" applyProtection="1"/>
    <xf numFmtId="49" fontId="8" fillId="7" borderId="1" xfId="0" applyNumberFormat="1" applyFont="1" applyFill="1" applyBorder="1" applyAlignment="1" applyProtection="1">
      <alignment wrapText="1"/>
    </xf>
    <xf numFmtId="3" fontId="8" fillId="4" borderId="2" xfId="0" applyNumberFormat="1" applyFont="1" applyFill="1" applyBorder="1" applyAlignment="1" applyProtection="1">
      <alignment horizontal="right"/>
    </xf>
    <xf numFmtId="0" fontId="16" fillId="7" borderId="1" xfId="0" applyFont="1" applyFill="1" applyBorder="1" applyAlignment="1" applyProtection="1"/>
    <xf numFmtId="0" fontId="8" fillId="7" borderId="1" xfId="0" quotePrefix="1" applyFont="1" applyFill="1" applyBorder="1" applyAlignment="1" applyProtection="1">
      <alignment wrapText="1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7" borderId="1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0" fontId="8" fillId="7" borderId="2" xfId="0" applyFont="1" applyFill="1" applyBorder="1" applyAlignment="1" applyProtection="1">
      <alignment horizontal="left"/>
    </xf>
    <xf numFmtId="0" fontId="8" fillId="7" borderId="6" xfId="0" applyFont="1" applyFill="1" applyBorder="1" applyAlignment="1" applyProtection="1">
      <alignment horizontal="left"/>
    </xf>
    <xf numFmtId="0" fontId="8" fillId="7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  <xf numFmtId="49" fontId="8" fillId="7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  <xf numFmtId="49" fontId="8" fillId="7" borderId="2" xfId="0" applyNumberFormat="1" applyFont="1" applyFill="1" applyBorder="1" applyAlignment="1" applyProtection="1">
      <alignment horizontal="left"/>
    </xf>
    <xf numFmtId="0" fontId="1" fillId="3" borderId="4" xfId="1" applyFont="1" applyFill="1" applyBorder="1" applyAlignment="1" applyProtection="1">
      <alignment horizontal="center"/>
    </xf>
    <xf numFmtId="0" fontId="1" fillId="3" borderId="0" xfId="1" applyFont="1" applyFill="1" applyBorder="1" applyAlignment="1" applyProtection="1">
      <alignment horizontal="center"/>
    </xf>
    <xf numFmtId="0" fontId="1" fillId="3" borderId="5" xfId="1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" fillId="6" borderId="4" xfId="1" applyFont="1" applyFill="1" applyBorder="1" applyAlignment="1" applyProtection="1">
      <alignment horizontal="center"/>
    </xf>
    <xf numFmtId="0" fontId="1" fillId="6" borderId="0" xfId="1" applyFont="1" applyFill="1" applyBorder="1" applyAlignment="1" applyProtection="1">
      <alignment horizontal="center"/>
    </xf>
    <xf numFmtId="0" fontId="1" fillId="6" borderId="5" xfId="1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8" borderId="4" xfId="1" applyFont="1" applyFill="1" applyBorder="1" applyAlignment="1" applyProtection="1">
      <alignment horizontal="center"/>
    </xf>
    <xf numFmtId="0" fontId="1" fillId="8" borderId="0" xfId="1" applyFont="1" applyFill="1" applyBorder="1" applyAlignment="1" applyProtection="1">
      <alignment horizontal="center"/>
    </xf>
    <xf numFmtId="0" fontId="1" fillId="8" borderId="5" xfId="1" applyFont="1" applyFill="1" applyBorder="1" applyAlignment="1" applyProtection="1">
      <alignment horizontal="center"/>
    </xf>
    <xf numFmtId="0" fontId="12" fillId="5" borderId="4" xfId="1" applyFont="1" applyFill="1" applyBorder="1" applyAlignment="1" applyProtection="1">
      <alignment horizontal="center"/>
    </xf>
    <xf numFmtId="0" fontId="12" fillId="5" borderId="0" xfId="1" applyFont="1" applyFill="1" applyBorder="1" applyAlignment="1" applyProtection="1">
      <alignment horizontal="center"/>
    </xf>
    <xf numFmtId="0" fontId="12" fillId="5" borderId="5" xfId="1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8" fillId="7" borderId="1" xfId="0" applyFont="1" applyFill="1" applyBorder="1" applyAlignment="1" applyProtection="1">
      <alignment horizontal="left" wrapText="1"/>
    </xf>
    <xf numFmtId="0" fontId="8" fillId="7" borderId="1" xfId="0" quotePrefix="1" applyFont="1" applyFill="1" applyBorder="1" applyAlignment="1" applyProtection="1">
      <alignment wrapText="1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wrapText="1"/>
    </xf>
    <xf numFmtId="0" fontId="8" fillId="7" borderId="2" xfId="0" quotePrefix="1" applyFont="1" applyFill="1" applyBorder="1" applyAlignment="1" applyProtection="1">
      <alignment horizontal="left" wrapText="1"/>
    </xf>
    <xf numFmtId="0" fontId="8" fillId="7" borderId="6" xfId="0" quotePrefix="1" applyFont="1" applyFill="1" applyBorder="1" applyAlignment="1" applyProtection="1">
      <alignment horizontal="left" wrapText="1"/>
    </xf>
    <xf numFmtId="0" fontId="8" fillId="7" borderId="3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7" borderId="1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4" borderId="1" xfId="0" applyFont="1" applyFill="1" applyBorder="1" applyAlignment="1" applyProtection="1">
      <alignment horizontal="left"/>
    </xf>
    <xf numFmtId="0" fontId="8" fillId="7" borderId="2" xfId="0" quotePrefix="1" applyFont="1" applyFill="1" applyBorder="1" applyAlignment="1" applyProtection="1">
      <alignment horizontal="left"/>
    </xf>
    <xf numFmtId="0" fontId="8" fillId="7" borderId="6" xfId="0" quotePrefix="1" applyFont="1" applyFill="1" applyBorder="1" applyAlignment="1" applyProtection="1">
      <alignment horizontal="left"/>
    </xf>
    <xf numFmtId="0" fontId="8" fillId="7" borderId="3" xfId="0" quotePrefix="1" applyFont="1" applyFill="1" applyBorder="1" applyAlignment="1" applyProtection="1">
      <alignment horizontal="left"/>
    </xf>
    <xf numFmtId="0" fontId="8" fillId="7" borderId="2" xfId="0" applyFont="1" applyFill="1" applyBorder="1" applyAlignment="1" applyProtection="1">
      <alignment horizontal="left"/>
    </xf>
    <xf numFmtId="0" fontId="8" fillId="7" borderId="6" xfId="0" applyFont="1" applyFill="1" applyBorder="1" applyAlignment="1" applyProtection="1">
      <alignment horizontal="left"/>
    </xf>
    <xf numFmtId="0" fontId="8" fillId="7" borderId="3" xfId="0" applyFont="1" applyFill="1" applyBorder="1" applyAlignment="1" applyProtection="1">
      <alignment horizontal="left"/>
    </xf>
    <xf numFmtId="0" fontId="8" fillId="7" borderId="2" xfId="0" applyFont="1" applyFill="1" applyBorder="1" applyAlignment="1" applyProtection="1">
      <alignment horizontal="left" wrapText="1"/>
    </xf>
    <xf numFmtId="0" fontId="8" fillId="7" borderId="6" xfId="0" applyFont="1" applyFill="1" applyBorder="1" applyAlignment="1" applyProtection="1">
      <alignment horizontal="left" wrapText="1"/>
    </xf>
    <xf numFmtId="0" fontId="8" fillId="7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</cellXfs>
  <cellStyles count="4">
    <cellStyle name="Link" xfId="1" builtinId="8"/>
    <cellStyle name="Normal" xfId="0" builtinId="0"/>
    <cellStyle name="Normal 12" xfId="2"/>
    <cellStyle name="Procent" xfId="3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4.bin"/><Relationship Id="rId1" Type="http://schemas.openxmlformats.org/officeDocument/2006/relationships/printerSettings" Target="../printerSettings/printerSettings23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6.bin"/><Relationship Id="rId1" Type="http://schemas.openxmlformats.org/officeDocument/2006/relationships/printerSettings" Target="../printerSettings/printerSettings25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8.bin"/><Relationship Id="rId1" Type="http://schemas.openxmlformats.org/officeDocument/2006/relationships/printerSettings" Target="../printerSettings/printerSettings2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8.bin"/><Relationship Id="rId1" Type="http://schemas.openxmlformats.org/officeDocument/2006/relationships/printerSettings" Target="../printerSettings/printerSettings1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62" t="s">
        <v>4</v>
      </c>
      <c r="E6" s="62"/>
      <c r="F6" s="62"/>
      <c r="G6" s="62"/>
      <c r="H6" s="3"/>
      <c r="I6" s="1"/>
    </row>
    <row r="7" spans="1:9" ht="15" customHeight="1" x14ac:dyDescent="0.25">
      <c r="A7" s="1"/>
      <c r="B7" s="1"/>
      <c r="C7" s="3"/>
      <c r="D7" s="62"/>
      <c r="E7" s="62"/>
      <c r="F7" s="62"/>
      <c r="G7" s="62"/>
      <c r="H7" s="3"/>
      <c r="I7" s="1"/>
    </row>
    <row r="8" spans="1:9" ht="15.75" x14ac:dyDescent="0.25">
      <c r="A8" s="1"/>
      <c r="B8" s="1"/>
      <c r="C8" s="4"/>
      <c r="D8" s="67" t="s">
        <v>94</v>
      </c>
      <c r="E8" s="67"/>
      <c r="F8" s="67"/>
      <c r="G8" s="67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66" t="s">
        <v>5</v>
      </c>
      <c r="E11" s="66"/>
      <c r="F11" s="66"/>
      <c r="G11" s="66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59" t="s">
        <v>87</v>
      </c>
      <c r="E13" s="60"/>
      <c r="F13" s="60"/>
      <c r="G13" s="61"/>
      <c r="H13" s="1"/>
      <c r="I13" s="1"/>
    </row>
    <row r="14" spans="1:9" x14ac:dyDescent="0.25">
      <c r="A14" s="1"/>
      <c r="B14" s="1"/>
      <c r="C14" s="6" t="s">
        <v>15</v>
      </c>
      <c r="D14" s="59" t="s">
        <v>37</v>
      </c>
      <c r="E14" s="60"/>
      <c r="F14" s="60"/>
      <c r="G14" s="61"/>
      <c r="H14" s="1"/>
      <c r="I14" s="1"/>
    </row>
    <row r="15" spans="1:9" x14ac:dyDescent="0.25">
      <c r="A15" s="1"/>
      <c r="B15" s="1"/>
      <c r="C15" s="6" t="s">
        <v>32</v>
      </c>
      <c r="D15" s="59" t="s">
        <v>63</v>
      </c>
      <c r="E15" s="60"/>
      <c r="F15" s="60"/>
      <c r="G15" s="61"/>
      <c r="H15" s="1"/>
      <c r="I15" s="1"/>
    </row>
    <row r="16" spans="1:9" x14ac:dyDescent="0.25">
      <c r="A16" s="1"/>
      <c r="B16" s="1"/>
      <c r="C16" s="6" t="s">
        <v>33</v>
      </c>
      <c r="D16" s="59" t="s">
        <v>95</v>
      </c>
      <c r="E16" s="60"/>
      <c r="F16" s="60"/>
      <c r="G16" s="61"/>
      <c r="H16" s="1"/>
      <c r="I16" s="1"/>
    </row>
    <row r="17" spans="1:9" x14ac:dyDescent="0.25">
      <c r="A17" s="1"/>
      <c r="B17" s="1"/>
      <c r="C17" s="6" t="s">
        <v>59</v>
      </c>
      <c r="D17" s="59" t="s">
        <v>96</v>
      </c>
      <c r="E17" s="60"/>
      <c r="F17" s="60"/>
      <c r="G17" s="61"/>
      <c r="H17" s="1"/>
      <c r="I17" s="1"/>
    </row>
    <row r="18" spans="1:9" x14ac:dyDescent="0.25">
      <c r="A18" s="1"/>
      <c r="B18" s="1"/>
      <c r="C18" s="6" t="s">
        <v>7</v>
      </c>
      <c r="D18" s="71" t="s">
        <v>12</v>
      </c>
      <c r="E18" s="72"/>
      <c r="F18" s="72"/>
      <c r="G18" s="73"/>
      <c r="H18" s="1"/>
      <c r="I18" s="1"/>
    </row>
    <row r="19" spans="1:9" x14ac:dyDescent="0.25">
      <c r="A19" s="1"/>
      <c r="B19" s="1"/>
      <c r="C19" s="6" t="s">
        <v>8</v>
      </c>
      <c r="D19" s="63" t="s">
        <v>97</v>
      </c>
      <c r="E19" s="64"/>
      <c r="F19" s="64"/>
      <c r="G19" s="65"/>
      <c r="H19" s="1"/>
      <c r="I19" s="1"/>
    </row>
    <row r="20" spans="1:9" x14ac:dyDescent="0.25">
      <c r="A20" s="1"/>
      <c r="B20" s="1"/>
      <c r="C20" s="6" t="s">
        <v>56</v>
      </c>
      <c r="D20" s="63" t="s">
        <v>34</v>
      </c>
      <c r="E20" s="64"/>
      <c r="F20" s="64"/>
      <c r="G20" s="65"/>
      <c r="H20" s="1"/>
      <c r="I20" s="1"/>
    </row>
    <row r="21" spans="1:9" x14ac:dyDescent="0.25">
      <c r="A21" s="1"/>
      <c r="B21" s="1"/>
      <c r="C21" s="6" t="s">
        <v>82</v>
      </c>
      <c r="D21" s="63" t="s">
        <v>41</v>
      </c>
      <c r="E21" s="64"/>
      <c r="F21" s="64"/>
      <c r="G21" s="65"/>
      <c r="H21" s="1"/>
      <c r="I21" s="1"/>
    </row>
    <row r="22" spans="1:9" x14ac:dyDescent="0.25">
      <c r="A22" s="1"/>
      <c r="B22" s="1"/>
      <c r="C22" s="6" t="s">
        <v>83</v>
      </c>
      <c r="D22" s="63" t="s">
        <v>42</v>
      </c>
      <c r="E22" s="64"/>
      <c r="F22" s="64"/>
      <c r="G22" s="65"/>
      <c r="H22" s="1"/>
      <c r="I22" s="1"/>
    </row>
    <row r="23" spans="1:9" x14ac:dyDescent="0.25">
      <c r="A23" s="1"/>
      <c r="B23" s="1"/>
      <c r="C23" s="6" t="s">
        <v>84</v>
      </c>
      <c r="D23" s="63" t="s">
        <v>64</v>
      </c>
      <c r="E23" s="64"/>
      <c r="F23" s="64"/>
      <c r="G23" s="65"/>
      <c r="H23" s="1"/>
      <c r="I23" s="1"/>
    </row>
    <row r="24" spans="1:9" x14ac:dyDescent="0.25">
      <c r="A24" s="1"/>
      <c r="B24" s="1"/>
      <c r="C24" s="6" t="s">
        <v>9</v>
      </c>
      <c r="D24" s="63" t="s">
        <v>35</v>
      </c>
      <c r="E24" s="64"/>
      <c r="F24" s="64"/>
      <c r="G24" s="65"/>
      <c r="H24" s="1"/>
      <c r="I24" s="1"/>
    </row>
    <row r="25" spans="1:9" x14ac:dyDescent="0.25">
      <c r="A25" s="1"/>
      <c r="B25" s="1"/>
      <c r="C25" s="6" t="s">
        <v>50</v>
      </c>
      <c r="D25" s="68" t="s">
        <v>57</v>
      </c>
      <c r="E25" s="69"/>
      <c r="F25" s="69"/>
      <c r="G25" s="70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MuWwA+AaOXHyuMlWh20blus6+oF7wdnZY5zukk3IyZRlpmHiHuG6hUjEHUgUTkfCTMm68x2DLka0a4Xm1bi0qQ==" saltValue="rX7stINCXORZWgqsxHSoSg==" spinCount="100000" sheet="1" objects="1" scenarios="1"/>
  <customSheetViews>
    <customSheetView guid="{61068CEC-D951-4EA8-B2F0-E3FAF0E2CE33}" showPageBreaks="1" showGridLines="0" view="pageLayout" topLeftCell="A7">
      <selection activeCell="E10" sqref="E10"/>
      <pageMargins left="0.71875" right="0.7" top="0.75" bottom="0.75" header="0.3" footer="0.3"/>
      <pageSetup paperSize="9" orientation="portrait" r:id="rId1"/>
    </customSheetView>
  </customSheetViews>
  <mergeCells count="16">
    <mergeCell ref="D24:G24"/>
    <mergeCell ref="D25:G25"/>
    <mergeCell ref="D18:G18"/>
    <mergeCell ref="D20:G20"/>
    <mergeCell ref="D21:G21"/>
    <mergeCell ref="D23:G23"/>
    <mergeCell ref="D22:G22"/>
    <mergeCell ref="D14:G14"/>
    <mergeCell ref="D6:G7"/>
    <mergeCell ref="D19:G19"/>
    <mergeCell ref="D11:G11"/>
    <mergeCell ref="D8:G8"/>
    <mergeCell ref="D15:G15"/>
    <mergeCell ref="D16:G16"/>
    <mergeCell ref="D13:G13"/>
    <mergeCell ref="D17:G17"/>
  </mergeCells>
  <hyperlinks>
    <hyperlink ref="D14:G14" location="'Fane 2.2. Økonomisk ramme 2023'!A1" display="Vejledende økonomisk ramme for 2022"/>
    <hyperlink ref="D21:G21" location="'Fane 7.1. Varige tillæg'!A1" display="Varige tillæg"/>
    <hyperlink ref="D23:G23" location="'Fane 8. Tilknyttet virksomhed'!A1" display="Tilknyttet virksomhed"/>
    <hyperlink ref="D24:G24" location="'Fane 9. Bortfald'!A1" display="Bortfald"/>
    <hyperlink ref="D13:G13" location="'Fane 2.1. Økonomisk ramme 2022'!A1" display="Samlet økonomisk ramme for 2021"/>
    <hyperlink ref="D16:G16" location="'Fane 2.4. Økonomisk ramme 2025'!A1" display="Vejledende økonomisk ramme for 2024"/>
    <hyperlink ref="D15:G15" location="'Fane 2.3. Økonomisk ramme 2024'!A1" display="Vejledende økonomisk ramme for 2023"/>
    <hyperlink ref="D18:G18" location="'Fane 4. Ikke-påvirkelige omk.'!A1" display="Ikke-påvirkelige omk."/>
    <hyperlink ref="D19:G19" location="'Fane 5. Kontrol af ØR2020'!A1" display="Kontrol af den økonomiske ramme for 2019"/>
    <hyperlink ref="D25:G25" location="'Fane 10. Nøgletal'!A1" display="Nøgletal"/>
    <hyperlink ref="D17:G17" location="'Fane 3. Omkostninger i ØR2021'!A1" display="Omkostninger i ØR2020"/>
    <hyperlink ref="D22:G22" location="'Fane 7.2. Engangstillæg'!A1" display="Engangstillæg"/>
    <hyperlink ref="D20:G20" location="'Fane 6. Anlægsprojekter'!A1" display="Anlægsprojekter"/>
  </hyperlinks>
  <pageMargins left="0.71875" right="0.7" top="0.75" bottom="0.75" header="0.3" footer="0.3"/>
  <pageSetup paperSize="9" orientation="portrait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4" t="s">
        <v>89</v>
      </c>
      <c r="C3" s="74"/>
      <c r="D3" s="74"/>
      <c r="E3" s="74"/>
      <c r="F3" s="74"/>
      <c r="G3" s="1"/>
    </row>
    <row r="4" spans="1:7" ht="15" customHeight="1" x14ac:dyDescent="0.25">
      <c r="A4" s="1"/>
      <c r="B4" s="74"/>
      <c r="C4" s="74"/>
      <c r="D4" s="74"/>
      <c r="E4" s="74"/>
      <c r="F4" s="7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54" t="s">
        <v>38</v>
      </c>
      <c r="C8" s="22"/>
      <c r="D8" s="22"/>
      <c r="E8" s="22"/>
      <c r="F8" s="55"/>
      <c r="G8" s="1"/>
    </row>
    <row r="9" spans="1:7" ht="17.25" customHeight="1" x14ac:dyDescent="0.25">
      <c r="A9" s="1"/>
      <c r="B9" s="23" t="s">
        <v>16</v>
      </c>
      <c r="C9" s="23" t="s">
        <v>11</v>
      </c>
      <c r="D9" s="24"/>
      <c r="E9" s="23" t="s">
        <v>28</v>
      </c>
      <c r="F9" s="53"/>
      <c r="G9" s="1"/>
    </row>
    <row r="10" spans="1:7" x14ac:dyDescent="0.25">
      <c r="A10" s="1"/>
      <c r="B10" s="20" t="s">
        <v>81</v>
      </c>
      <c r="C10" s="19">
        <f>'Fane 6. Anlægsprojekter'!F11</f>
        <v>0</v>
      </c>
      <c r="D10" s="12" t="s">
        <v>3</v>
      </c>
      <c r="E10" s="8">
        <f>SUM('Fane 6. Anlægsprojekter'!E11,'Fane 6. Anlægsprojekter'!G11)</f>
        <v>0</v>
      </c>
      <c r="F10" s="12" t="s">
        <v>3</v>
      </c>
      <c r="G10" s="1"/>
    </row>
    <row r="11" spans="1:7" x14ac:dyDescent="0.25">
      <c r="A11" s="1"/>
      <c r="B11" s="58" t="s">
        <v>152</v>
      </c>
      <c r="C11" s="19">
        <v>10535</v>
      </c>
      <c r="D11" s="12" t="s">
        <v>3</v>
      </c>
      <c r="E11" s="8">
        <v>1566</v>
      </c>
      <c r="F11" s="12" t="s">
        <v>3</v>
      </c>
      <c r="G11" s="1"/>
    </row>
    <row r="12" spans="1:7" x14ac:dyDescent="0.25">
      <c r="A12" s="1"/>
      <c r="B12" s="54" t="s">
        <v>69</v>
      </c>
      <c r="C12" s="10">
        <f>SUM(C10:C11)</f>
        <v>10535</v>
      </c>
      <c r="D12" s="11" t="s">
        <v>3</v>
      </c>
      <c r="E12" s="10">
        <f>SUM(E10:E11)</f>
        <v>1566</v>
      </c>
      <c r="F12" s="11" t="s">
        <v>3</v>
      </c>
      <c r="G12" s="1"/>
    </row>
    <row r="13" spans="1:7" x14ac:dyDescent="0.25">
      <c r="A13" s="1"/>
      <c r="B13" s="54" t="s">
        <v>110</v>
      </c>
      <c r="C13" s="10">
        <f>C12*(1+'Fane 10. Nøgletal'!C14)</f>
        <v>10569.765500000001</v>
      </c>
      <c r="D13" s="11" t="s">
        <v>3</v>
      </c>
      <c r="E13" s="10">
        <f>E12*(1+'Fane 10. Nøgletal'!C14)</f>
        <v>1571.1678000000002</v>
      </c>
      <c r="F13" s="11" t="s">
        <v>3</v>
      </c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oKnVNTNbH2ye1TiWsvTD+Ggnf8+Ehia953/jUNzieTh6b7l92K9DDYFbsiFm/M75Pp5tHL/MGMCHcwxyUng0xQ==" saltValue="gOpwEIfjzqJZ6uUkeWyn8w==" spinCount="100000" sheet="1" objects="1" scenarios="1"/>
  <customSheetViews>
    <customSheetView guid="{61068CEC-D951-4EA8-B2F0-E3FAF0E2CE33}" showPageBreaks="1" showGridLines="0" view="pageLayout">
      <selection activeCell="I17" sqref="I17"/>
      <pageMargins left="0.7" right="0.7" top="0.75" bottom="0.75" header="0.3" footer="0.3"/>
      <pageSetup paperSize="9" orientation="portrait" r:id="rId1"/>
    </customSheetView>
  </customSheetViews>
  <mergeCells count="1">
    <mergeCell ref="B3:F4"/>
  </mergeCells>
  <pageMargins left="0.7" right="0.7" top="0.75" bottom="0.75" header="0.3" footer="0.3"/>
  <pageSetup paperSize="9" orientation="portrait"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4" t="s">
        <v>90</v>
      </c>
      <c r="C3" s="74"/>
      <c r="D3" s="74"/>
      <c r="E3" s="74"/>
      <c r="F3" s="74"/>
      <c r="G3" s="1"/>
    </row>
    <row r="4" spans="1:7" ht="15" customHeight="1" x14ac:dyDescent="0.25">
      <c r="A4" s="1"/>
      <c r="B4" s="74"/>
      <c r="C4" s="74"/>
      <c r="D4" s="74"/>
      <c r="E4" s="74"/>
      <c r="F4" s="7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9" t="s">
        <v>51</v>
      </c>
      <c r="C8" s="90"/>
      <c r="D8" s="90"/>
      <c r="E8" s="90"/>
      <c r="F8" s="91"/>
      <c r="G8" s="1"/>
    </row>
    <row r="9" spans="1:7" x14ac:dyDescent="0.25">
      <c r="A9" s="1"/>
      <c r="B9" s="23" t="s">
        <v>16</v>
      </c>
      <c r="C9" s="23" t="s">
        <v>11</v>
      </c>
      <c r="D9" s="24"/>
      <c r="E9" s="23" t="s">
        <v>28</v>
      </c>
      <c r="F9" s="53"/>
      <c r="G9" s="1"/>
    </row>
    <row r="10" spans="1:7" x14ac:dyDescent="0.25">
      <c r="A10" s="1"/>
      <c r="B10" s="20" t="s">
        <v>153</v>
      </c>
      <c r="C10" s="19">
        <v>0</v>
      </c>
      <c r="D10" s="12" t="s">
        <v>3</v>
      </c>
      <c r="E10" s="19">
        <v>0</v>
      </c>
      <c r="F10" s="12" t="s">
        <v>3</v>
      </c>
      <c r="G10" s="1"/>
    </row>
    <row r="11" spans="1:7" x14ac:dyDescent="0.25">
      <c r="A11" s="1"/>
      <c r="B11" s="54" t="s">
        <v>111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25" t="s">
        <v>54</v>
      </c>
      <c r="C12" s="26">
        <f>-C11*'Fane 10. Nøgletal'!C19</f>
        <v>0</v>
      </c>
      <c r="D12" s="27" t="s">
        <v>3</v>
      </c>
      <c r="E12" s="26">
        <f>-E11*'Fane 10. Nøgletal'!C19</f>
        <v>0</v>
      </c>
      <c r="F12" s="27" t="s">
        <v>3</v>
      </c>
      <c r="G12" s="1"/>
    </row>
    <row r="13" spans="1:7" x14ac:dyDescent="0.25">
      <c r="A13" s="1"/>
      <c r="B13" s="54" t="s">
        <v>70</v>
      </c>
      <c r="C13" s="10">
        <f>SUM(C11:C12)*(1+'Fane 10. Nøgletal'!C14)^2</f>
        <v>0</v>
      </c>
      <c r="D13" s="11" t="s">
        <v>3</v>
      </c>
      <c r="E13" s="10">
        <f>SUM(E11:E12)*(1+'Fane 10. Nøgletal'!C14)^2</f>
        <v>0</v>
      </c>
      <c r="F13" s="11" t="s">
        <v>3</v>
      </c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89" t="s">
        <v>52</v>
      </c>
      <c r="C15" s="90"/>
      <c r="D15" s="90"/>
      <c r="E15" s="90"/>
      <c r="F15" s="91"/>
      <c r="G15" s="1"/>
    </row>
    <row r="16" spans="1:7" x14ac:dyDescent="0.25">
      <c r="A16" s="1"/>
      <c r="B16" s="23" t="s">
        <v>16</v>
      </c>
      <c r="C16" s="23" t="s">
        <v>11</v>
      </c>
      <c r="D16" s="24"/>
      <c r="E16" s="23" t="s">
        <v>28</v>
      </c>
      <c r="F16" s="53"/>
      <c r="G16" s="1"/>
    </row>
    <row r="17" spans="1:7" x14ac:dyDescent="0.25">
      <c r="A17" s="1"/>
      <c r="B17" s="20" t="s">
        <v>153</v>
      </c>
      <c r="C17" s="19">
        <v>0</v>
      </c>
      <c r="D17" s="12" t="s">
        <v>3</v>
      </c>
      <c r="E17" s="19">
        <v>0</v>
      </c>
      <c r="F17" s="12" t="s">
        <v>3</v>
      </c>
      <c r="G17" s="1"/>
    </row>
    <row r="18" spans="1:7" x14ac:dyDescent="0.25">
      <c r="A18" s="1"/>
      <c r="B18" s="54" t="s">
        <v>111</v>
      </c>
      <c r="C18" s="10">
        <f>SUM(C17:C17)</f>
        <v>0</v>
      </c>
      <c r="D18" s="11" t="s">
        <v>3</v>
      </c>
      <c r="E18" s="10">
        <f>SUM(E17:E17)</f>
        <v>0</v>
      </c>
      <c r="F18" s="11" t="s">
        <v>3</v>
      </c>
      <c r="G18" s="1"/>
    </row>
    <row r="19" spans="1:7" x14ac:dyDescent="0.25">
      <c r="A19" s="1"/>
      <c r="B19" s="25" t="s">
        <v>54</v>
      </c>
      <c r="C19" s="26">
        <f>-C18*'Fane 10. Nøgletal'!C19</f>
        <v>0</v>
      </c>
      <c r="D19" s="27" t="s">
        <v>3</v>
      </c>
      <c r="E19" s="26">
        <f>-E18*'Fane 10. Nøgletal'!C19</f>
        <v>0</v>
      </c>
      <c r="F19" s="27" t="s">
        <v>3</v>
      </c>
      <c r="G19" s="1"/>
    </row>
    <row r="20" spans="1:7" x14ac:dyDescent="0.25">
      <c r="A20" s="1"/>
      <c r="B20" s="54" t="s">
        <v>75</v>
      </c>
      <c r="C20" s="10">
        <f>SUM(C18:C19)*(1+'Fane 10. Nøgletal'!C14)^3</f>
        <v>0</v>
      </c>
      <c r="D20" s="11" t="s">
        <v>3</v>
      </c>
      <c r="E20" s="10">
        <f>SUM(E18:E19)*(1+'Fane 10. Nøgletal'!C14)^3</f>
        <v>0</v>
      </c>
      <c r="F20" s="11" t="s">
        <v>3</v>
      </c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89" t="s">
        <v>77</v>
      </c>
      <c r="C22" s="90"/>
      <c r="D22" s="90"/>
      <c r="E22" s="90"/>
      <c r="F22" s="91"/>
      <c r="G22" s="1"/>
    </row>
    <row r="23" spans="1:7" x14ac:dyDescent="0.25">
      <c r="A23" s="1"/>
      <c r="B23" s="23" t="s">
        <v>16</v>
      </c>
      <c r="C23" s="23" t="s">
        <v>11</v>
      </c>
      <c r="D23" s="24"/>
      <c r="E23" s="23" t="s">
        <v>28</v>
      </c>
      <c r="F23" s="53"/>
      <c r="G23" s="1"/>
    </row>
    <row r="24" spans="1:7" x14ac:dyDescent="0.25">
      <c r="A24" s="1"/>
      <c r="B24" s="20" t="s">
        <v>153</v>
      </c>
      <c r="C24" s="19">
        <v>0</v>
      </c>
      <c r="D24" s="12" t="s">
        <v>3</v>
      </c>
      <c r="E24" s="19">
        <v>0</v>
      </c>
      <c r="F24" s="12" t="s">
        <v>3</v>
      </c>
      <c r="G24" s="1"/>
    </row>
    <row r="25" spans="1:7" x14ac:dyDescent="0.25">
      <c r="A25" s="1"/>
      <c r="B25" s="54" t="s">
        <v>111</v>
      </c>
      <c r="C25" s="10">
        <f>SUM(C24:C24)</f>
        <v>0</v>
      </c>
      <c r="D25" s="11" t="s">
        <v>3</v>
      </c>
      <c r="E25" s="10">
        <f>SUM(E24:E24)</f>
        <v>0</v>
      </c>
      <c r="F25" s="11" t="s">
        <v>3</v>
      </c>
      <c r="G25" s="1"/>
    </row>
    <row r="26" spans="1:7" x14ac:dyDescent="0.25">
      <c r="A26" s="1"/>
      <c r="B26" s="25" t="s">
        <v>54</v>
      </c>
      <c r="C26" s="26">
        <f>-C25*'Fane 10. Nøgletal'!C19</f>
        <v>0</v>
      </c>
      <c r="D26" s="27" t="s">
        <v>3</v>
      </c>
      <c r="E26" s="26">
        <f>-E25*'Fane 10. Nøgletal'!C19</f>
        <v>0</v>
      </c>
      <c r="F26" s="27" t="s">
        <v>3</v>
      </c>
      <c r="G26" s="1"/>
    </row>
    <row r="27" spans="1:7" x14ac:dyDescent="0.25">
      <c r="A27" s="1"/>
      <c r="B27" s="54" t="s">
        <v>76</v>
      </c>
      <c r="C27" s="10">
        <f>SUM(C25:C26)*(1+'Fane 10. Nøgletal'!C14)^4</f>
        <v>0</v>
      </c>
      <c r="D27" s="11" t="s">
        <v>3</v>
      </c>
      <c r="E27" s="10">
        <f>SUM(E25:E26)*(1+'Fane 10. Nøgletal'!C14)^4</f>
        <v>0</v>
      </c>
      <c r="F27" s="11" t="s">
        <v>3</v>
      </c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89" t="s">
        <v>112</v>
      </c>
      <c r="C29" s="90"/>
      <c r="D29" s="90"/>
      <c r="E29" s="90"/>
      <c r="F29" s="91"/>
      <c r="G29" s="1"/>
    </row>
    <row r="30" spans="1:7" x14ac:dyDescent="0.25">
      <c r="A30" s="1"/>
      <c r="B30" s="23" t="s">
        <v>16</v>
      </c>
      <c r="C30" s="23" t="s">
        <v>11</v>
      </c>
      <c r="D30" s="24"/>
      <c r="E30" s="23" t="s">
        <v>28</v>
      </c>
      <c r="F30" s="53"/>
      <c r="G30" s="1"/>
    </row>
    <row r="31" spans="1:7" x14ac:dyDescent="0.25">
      <c r="A31" s="1"/>
      <c r="B31" s="20" t="s">
        <v>153</v>
      </c>
      <c r="C31" s="19">
        <v>0</v>
      </c>
      <c r="D31" s="12" t="s">
        <v>3</v>
      </c>
      <c r="E31" s="19">
        <v>0</v>
      </c>
      <c r="F31" s="12" t="s">
        <v>3</v>
      </c>
      <c r="G31" s="1"/>
    </row>
    <row r="32" spans="1:7" x14ac:dyDescent="0.25">
      <c r="A32" s="1"/>
      <c r="B32" s="54" t="s">
        <v>111</v>
      </c>
      <c r="C32" s="10">
        <f>SUM(C31:C31)</f>
        <v>0</v>
      </c>
      <c r="D32" s="11" t="s">
        <v>3</v>
      </c>
      <c r="E32" s="10">
        <f>SUM(E31:E31)</f>
        <v>0</v>
      </c>
      <c r="F32" s="11" t="s">
        <v>3</v>
      </c>
      <c r="G32" s="1"/>
    </row>
    <row r="33" spans="1:7" x14ac:dyDescent="0.25">
      <c r="A33" s="1"/>
      <c r="B33" s="25" t="s">
        <v>54</v>
      </c>
      <c r="C33" s="26">
        <f>-C32*'Fane 10. Nøgletal'!C19</f>
        <v>0</v>
      </c>
      <c r="D33" s="27" t="s">
        <v>3</v>
      </c>
      <c r="E33" s="26">
        <f>-E32*'Fane 10. Nøgletal'!C19</f>
        <v>0</v>
      </c>
      <c r="F33" s="27" t="s">
        <v>3</v>
      </c>
      <c r="G33" s="1"/>
    </row>
    <row r="34" spans="1:7" x14ac:dyDescent="0.25">
      <c r="A34" s="1"/>
      <c r="B34" s="54" t="s">
        <v>113</v>
      </c>
      <c r="C34" s="10">
        <f>SUM(C32:C33)*(1+'Fane 10. Nøgletal'!C14)^5</f>
        <v>0</v>
      </c>
      <c r="D34" s="11" t="s">
        <v>3</v>
      </c>
      <c r="E34" s="10">
        <f>SUM(E32:E33)*(1+'Fane 10. Nøgletal'!C14)^5</f>
        <v>0</v>
      </c>
      <c r="F34" s="11" t="s">
        <v>3</v>
      </c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tHPBeihTRXSEu/BEVduZuima4kArSujRsIUZqHKiqaVtsxqoPRrtCD43JMTm1iDUcf+g+5cqhNJU51Gb+KpTtw==" saltValue="JWWli/9hG8aeSjswZpvfVQ==" spinCount="100000" sheet="1" objects="1" scenarios="1"/>
  <customSheetViews>
    <customSheetView guid="{61068CEC-D951-4EA8-B2F0-E3FAF0E2CE33}" showPageBreaks="1" showGridLines="0" view="pageLayout" topLeftCell="A4">
      <pageMargins left="0.7" right="0.7" top="0.75" bottom="0.75" header="0.3" footer="0.3"/>
      <pageSetup paperSize="9" orientation="portrait" r:id="rId1"/>
    </customSheetView>
  </customSheetViews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45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41.140625" style="2" bestFit="1" customWidth="1"/>
    <col min="3" max="3" width="13.42578125" style="2" customWidth="1"/>
    <col min="4" max="4" width="3.28515625" style="2" customWidth="1"/>
    <col min="5" max="5" width="14.425781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7" t="s">
        <v>91</v>
      </c>
      <c r="C3" s="87"/>
      <c r="D3" s="87"/>
      <c r="E3" s="87"/>
      <c r="F3" s="87"/>
      <c r="G3" s="1"/>
    </row>
    <row r="4" spans="1:7" ht="25.5" customHeight="1" x14ac:dyDescent="0.25">
      <c r="A4" s="1"/>
      <c r="B4" s="87"/>
      <c r="C4" s="87"/>
      <c r="D4" s="87"/>
      <c r="E4" s="87"/>
      <c r="F4" s="87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9" t="s">
        <v>71</v>
      </c>
      <c r="C8" s="90"/>
      <c r="D8" s="90"/>
      <c r="E8" s="90"/>
      <c r="F8" s="91"/>
      <c r="G8" s="1"/>
    </row>
    <row r="9" spans="1:7" ht="15" customHeight="1" x14ac:dyDescent="0.25">
      <c r="A9" s="1"/>
      <c r="B9" s="52" t="s">
        <v>78</v>
      </c>
      <c r="C9" s="105" t="s">
        <v>11</v>
      </c>
      <c r="D9" s="106"/>
      <c r="E9" s="105" t="s">
        <v>28</v>
      </c>
      <c r="F9" s="106"/>
      <c r="G9" s="1"/>
    </row>
    <row r="10" spans="1:7" x14ac:dyDescent="0.25">
      <c r="A10" s="1"/>
      <c r="B10" s="20" t="s">
        <v>129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ht="28.5" customHeight="1" x14ac:dyDescent="0.25">
      <c r="A11" s="1"/>
      <c r="B11" s="18" t="s">
        <v>72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ht="27" customHeight="1" x14ac:dyDescent="0.25">
      <c r="A12" s="1"/>
      <c r="B12" s="18" t="s">
        <v>114</v>
      </c>
      <c r="C12" s="10">
        <f>C11*(1+'Fane 10. Nøgletal'!C14)</f>
        <v>0</v>
      </c>
      <c r="D12" s="11" t="s">
        <v>3</v>
      </c>
      <c r="E12" s="10">
        <f>E11*(1+'Fane 10. Nøgletal'!C14)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</sheetData>
  <sheetProtection algorithmName="SHA-512" hashValue="x9GgBkN8Xcwtgm6l45zFN6Rz3sxfkHF7awNgx7MOrGjm6pfgN+JVNe83RBXHxOwqyf2NhZoVF1o++eZ7gsI7Uw==" saltValue="BsL4cQn3hG66h7jLsx/dKA==" spinCount="100000" sheet="1" objects="1" scenarios="1"/>
  <customSheetViews>
    <customSheetView guid="{61068CEC-D951-4EA8-B2F0-E3FAF0E2CE33}" showPageBreaks="1" showGridLines="0" view="pageLayout">
      <selection activeCell="B3" sqref="B3:F4"/>
      <pageMargins left="0.7" right="0.7" top="0.75" bottom="0.75" header="0.3" footer="0.3"/>
      <pageSetup paperSize="9" orientation="portrait" r:id="rId1"/>
    </customSheetView>
  </customSheetViews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7" t="s">
        <v>92</v>
      </c>
      <c r="C3" s="87"/>
      <c r="D3" s="87"/>
      <c r="E3" s="87"/>
      <c r="F3" s="87"/>
      <c r="G3" s="1"/>
    </row>
    <row r="4" spans="1:7" ht="25.5" customHeight="1" x14ac:dyDescent="0.25">
      <c r="A4" s="1"/>
      <c r="B4" s="87"/>
      <c r="C4" s="87"/>
      <c r="D4" s="87"/>
      <c r="E4" s="87"/>
      <c r="F4" s="87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9" t="s">
        <v>48</v>
      </c>
      <c r="C8" s="90"/>
      <c r="D8" s="90"/>
      <c r="E8" s="90"/>
      <c r="F8" s="91"/>
      <c r="G8" s="1"/>
    </row>
    <row r="9" spans="1:7" ht="15" customHeight="1" x14ac:dyDescent="0.25">
      <c r="A9" s="1"/>
      <c r="B9" s="52" t="s">
        <v>17</v>
      </c>
      <c r="C9" s="52" t="s">
        <v>11</v>
      </c>
      <c r="D9" s="53"/>
      <c r="E9" s="52" t="s">
        <v>28</v>
      </c>
      <c r="F9" s="53"/>
      <c r="G9" s="1"/>
    </row>
    <row r="10" spans="1:7" x14ac:dyDescent="0.25">
      <c r="A10" s="1"/>
      <c r="B10" s="20" t="s">
        <v>134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25">
      <c r="A11" s="1"/>
      <c r="B11" s="54" t="s">
        <v>44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54" t="s">
        <v>45</v>
      </c>
      <c r="C12" s="10">
        <f>C11*(1+'Fane 10. Nøgletal'!C14)</f>
        <v>0</v>
      </c>
      <c r="D12" s="11" t="s">
        <v>3</v>
      </c>
      <c r="E12" s="10">
        <f>E11*(1+'Fane 10. Nøgletal'!C14)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89" t="s">
        <v>49</v>
      </c>
      <c r="C14" s="90"/>
      <c r="D14" s="90"/>
      <c r="E14" s="90"/>
      <c r="F14" s="91"/>
      <c r="G14" s="1"/>
    </row>
    <row r="15" spans="1:7" ht="26.25" x14ac:dyDescent="0.25">
      <c r="A15" s="1"/>
      <c r="B15" s="52" t="s">
        <v>17</v>
      </c>
      <c r="C15" s="52" t="s">
        <v>11</v>
      </c>
      <c r="D15" s="53"/>
      <c r="E15" s="52" t="s">
        <v>28</v>
      </c>
      <c r="F15" s="53"/>
      <c r="G15" s="1"/>
    </row>
    <row r="16" spans="1:7" x14ac:dyDescent="0.25">
      <c r="A16" s="1"/>
      <c r="B16" s="20" t="s">
        <v>134</v>
      </c>
      <c r="C16" s="8">
        <v>0</v>
      </c>
      <c r="D16" s="12" t="s">
        <v>3</v>
      </c>
      <c r="E16" s="8">
        <v>0</v>
      </c>
      <c r="F16" s="12" t="s">
        <v>3</v>
      </c>
      <c r="G16" s="1"/>
    </row>
    <row r="17" spans="1:7" x14ac:dyDescent="0.25">
      <c r="A17" s="1"/>
      <c r="B17" s="54" t="s">
        <v>44</v>
      </c>
      <c r="C17" s="10">
        <f>SUM(C16:C16)</f>
        <v>0</v>
      </c>
      <c r="D17" s="11" t="s">
        <v>3</v>
      </c>
      <c r="E17" s="10">
        <f>SUM(E16:E16)</f>
        <v>0</v>
      </c>
      <c r="F17" s="11" t="s">
        <v>3</v>
      </c>
      <c r="G17" s="1"/>
    </row>
    <row r="18" spans="1:7" x14ac:dyDescent="0.25">
      <c r="A18" s="1"/>
      <c r="B18" s="54" t="s">
        <v>46</v>
      </c>
      <c r="C18" s="10">
        <f>C17*(1+'Fane 10. Nøgletal'!C14)^2</f>
        <v>0</v>
      </c>
      <c r="D18" s="11" t="s">
        <v>3</v>
      </c>
      <c r="E18" s="10">
        <f>E17*(1+'Fane 10. Nøgletal'!C14)^2</f>
        <v>0</v>
      </c>
      <c r="F18" s="11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89" t="s">
        <v>73</v>
      </c>
      <c r="C20" s="90"/>
      <c r="D20" s="90"/>
      <c r="E20" s="90"/>
      <c r="F20" s="91"/>
      <c r="G20" s="1"/>
    </row>
    <row r="21" spans="1:7" ht="26.25" x14ac:dyDescent="0.25">
      <c r="A21" s="1"/>
      <c r="B21" s="52" t="s">
        <v>17</v>
      </c>
      <c r="C21" s="52" t="s">
        <v>11</v>
      </c>
      <c r="D21" s="53"/>
      <c r="E21" s="52" t="s">
        <v>28</v>
      </c>
      <c r="F21" s="53"/>
      <c r="G21" s="1"/>
    </row>
    <row r="22" spans="1:7" x14ac:dyDescent="0.25">
      <c r="A22" s="1"/>
      <c r="B22" s="20" t="s">
        <v>134</v>
      </c>
      <c r="C22" s="8">
        <v>0</v>
      </c>
      <c r="D22" s="12" t="s">
        <v>3</v>
      </c>
      <c r="E22" s="8">
        <v>0</v>
      </c>
      <c r="F22" s="12" t="s">
        <v>3</v>
      </c>
      <c r="G22" s="1"/>
    </row>
    <row r="23" spans="1:7" x14ac:dyDescent="0.25">
      <c r="A23" s="1"/>
      <c r="B23" s="54" t="s">
        <v>44</v>
      </c>
      <c r="C23" s="10">
        <f>SUM(C22:C22)</f>
        <v>0</v>
      </c>
      <c r="D23" s="11" t="s">
        <v>3</v>
      </c>
      <c r="E23" s="10">
        <f>SUM(E22:E22)</f>
        <v>0</v>
      </c>
      <c r="F23" s="11" t="s">
        <v>3</v>
      </c>
      <c r="G23" s="1"/>
    </row>
    <row r="24" spans="1:7" x14ac:dyDescent="0.25">
      <c r="A24" s="1"/>
      <c r="B24" s="54" t="s">
        <v>115</v>
      </c>
      <c r="C24" s="10">
        <f>C23*(1+'Fane 10. Nøgletal'!C14)^3</f>
        <v>0</v>
      </c>
      <c r="D24" s="11" t="s">
        <v>3</v>
      </c>
      <c r="E24" s="10">
        <f>E23*(1+'Fane 10. Nøgletal'!C14)^3</f>
        <v>0</v>
      </c>
      <c r="F24" s="11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89" t="s">
        <v>116</v>
      </c>
      <c r="C26" s="90"/>
      <c r="D26" s="90"/>
      <c r="E26" s="90"/>
      <c r="F26" s="91"/>
      <c r="G26" s="1"/>
    </row>
    <row r="27" spans="1:7" ht="26.25" x14ac:dyDescent="0.25">
      <c r="A27" s="1"/>
      <c r="B27" s="52" t="s">
        <v>17</v>
      </c>
      <c r="C27" s="52" t="s">
        <v>11</v>
      </c>
      <c r="D27" s="53"/>
      <c r="E27" s="52" t="s">
        <v>28</v>
      </c>
      <c r="F27" s="53"/>
      <c r="G27" s="1"/>
    </row>
    <row r="28" spans="1:7" x14ac:dyDescent="0.25">
      <c r="A28" s="1"/>
      <c r="B28" s="20" t="s">
        <v>134</v>
      </c>
      <c r="C28" s="8">
        <v>0</v>
      </c>
      <c r="D28" s="12" t="s">
        <v>3</v>
      </c>
      <c r="E28" s="8">
        <v>0</v>
      </c>
      <c r="F28" s="12" t="s">
        <v>3</v>
      </c>
      <c r="G28" s="1"/>
    </row>
    <row r="29" spans="1:7" x14ac:dyDescent="0.25">
      <c r="A29" s="1"/>
      <c r="B29" s="54" t="s">
        <v>44</v>
      </c>
      <c r="C29" s="10">
        <f>SUM(C28:C28)</f>
        <v>0</v>
      </c>
      <c r="D29" s="11" t="s">
        <v>3</v>
      </c>
      <c r="E29" s="10">
        <f>SUM(E28:E28)</f>
        <v>0</v>
      </c>
      <c r="F29" s="11" t="s">
        <v>3</v>
      </c>
      <c r="G29" s="1"/>
    </row>
    <row r="30" spans="1:7" x14ac:dyDescent="0.25">
      <c r="A30" s="1"/>
      <c r="B30" s="54" t="s">
        <v>117</v>
      </c>
      <c r="C30" s="10">
        <f>C29*(1+'Fane 10. Nøgletal'!C14)^4</f>
        <v>0</v>
      </c>
      <c r="D30" s="11" t="s">
        <v>3</v>
      </c>
      <c r="E30" s="10">
        <f>E29*(1+'Fane 10. Nøgletal'!C14)^4</f>
        <v>0</v>
      </c>
      <c r="F30" s="11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gJ/TSFYUqsKUrHa06gl/NxXpCIea3k+NS4ablu6wLDSWPFob5CmhPufgpX4H4nbw307jSl+OTzqC9nPhIbAIEQ==" saltValue="N0TwYYK5F+0PclooqKDReg==" spinCount="100000" sheet="1" objects="1" scenarios="1"/>
  <customSheetViews>
    <customSheetView guid="{61068CEC-D951-4EA8-B2F0-E3FAF0E2CE33}" showPageBreaks="1" showGridLines="0" view="pageLayout" topLeftCell="A7">
      <pageMargins left="0.7" right="0.7" top="0.75" bottom="0.75" header="0.3" footer="0.3"/>
      <pageSetup paperSize="9" orientation="portrait" r:id="rId1"/>
    </customSheetView>
  </customSheetViews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50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5.8554687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87" t="s">
        <v>93</v>
      </c>
      <c r="C3" s="87"/>
      <c r="D3" s="1"/>
    </row>
    <row r="4" spans="1:4" ht="25.5" customHeight="1" x14ac:dyDescent="0.25">
      <c r="A4" s="1"/>
      <c r="B4" s="87"/>
      <c r="C4" s="87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54" t="s">
        <v>14</v>
      </c>
      <c r="C8" s="55"/>
      <c r="D8" s="1"/>
    </row>
    <row r="9" spans="1:4" x14ac:dyDescent="0.25">
      <c r="A9" s="1"/>
      <c r="B9" s="28" t="s">
        <v>127</v>
      </c>
      <c r="C9" s="21">
        <v>1.2699999999999999E-2</v>
      </c>
      <c r="D9" s="1"/>
    </row>
    <row r="10" spans="1:4" x14ac:dyDescent="0.25">
      <c r="A10" s="1"/>
      <c r="B10" s="28" t="s">
        <v>118</v>
      </c>
      <c r="C10" s="21">
        <v>1.7500000000000002E-2</v>
      </c>
      <c r="D10" s="1"/>
    </row>
    <row r="11" spans="1:4" x14ac:dyDescent="0.25">
      <c r="A11" s="1"/>
      <c r="B11" s="28" t="s">
        <v>22</v>
      </c>
      <c r="C11" s="21">
        <v>1.6899999999999998E-2</v>
      </c>
      <c r="D11" s="1"/>
    </row>
    <row r="12" spans="1:4" x14ac:dyDescent="0.25">
      <c r="A12" s="1"/>
      <c r="B12" s="28" t="s">
        <v>36</v>
      </c>
      <c r="C12" s="21">
        <v>1.9699999999999999E-2</v>
      </c>
      <c r="D12" s="1"/>
    </row>
    <row r="13" spans="1:4" x14ac:dyDescent="0.25">
      <c r="A13" s="1"/>
      <c r="B13" s="30" t="s">
        <v>74</v>
      </c>
      <c r="C13" s="31">
        <v>1.2200000000000001E-2</v>
      </c>
      <c r="D13" s="1"/>
    </row>
    <row r="14" spans="1:4" x14ac:dyDescent="0.25">
      <c r="A14" s="1"/>
      <c r="B14" s="30" t="s">
        <v>119</v>
      </c>
      <c r="C14" s="31">
        <v>3.3E-3</v>
      </c>
      <c r="D14" s="1"/>
    </row>
    <row r="15" spans="1:4" x14ac:dyDescent="0.25">
      <c r="A15" s="1"/>
      <c r="B15" s="54"/>
      <c r="C15" s="55"/>
      <c r="D15" s="1"/>
    </row>
    <row r="16" spans="1:4" x14ac:dyDescent="0.25">
      <c r="A16" s="1"/>
      <c r="B16" s="1"/>
      <c r="C16" s="1"/>
      <c r="D16" s="1"/>
    </row>
    <row r="17" spans="1:4" x14ac:dyDescent="0.25">
      <c r="A17" s="1"/>
      <c r="B17" s="1"/>
      <c r="C17" s="1"/>
      <c r="D17" s="1"/>
    </row>
    <row r="18" spans="1:4" x14ac:dyDescent="0.25">
      <c r="A18" s="1"/>
      <c r="B18" s="54" t="s">
        <v>54</v>
      </c>
      <c r="C18" s="55"/>
      <c r="D18" s="1"/>
    </row>
    <row r="19" spans="1:4" x14ac:dyDescent="0.25">
      <c r="A19" s="1"/>
      <c r="B19" s="28" t="s">
        <v>58</v>
      </c>
      <c r="C19" s="21">
        <v>1.7000000000000001E-2</v>
      </c>
      <c r="D19" s="1"/>
    </row>
    <row r="20" spans="1:4" x14ac:dyDescent="0.25">
      <c r="A20" s="1"/>
      <c r="B20" s="107"/>
      <c r="C20" s="108"/>
      <c r="D20" s="1"/>
    </row>
    <row r="21" spans="1:4" x14ac:dyDescent="0.25">
      <c r="A21" s="1"/>
      <c r="B21" s="1"/>
      <c r="C21" s="1"/>
      <c r="D21" s="1"/>
    </row>
    <row r="22" spans="1:4" x14ac:dyDescent="0.25">
      <c r="A22" s="1"/>
      <c r="B22" s="1"/>
      <c r="C22" s="1"/>
      <c r="D22" s="1"/>
    </row>
    <row r="23" spans="1:4" x14ac:dyDescent="0.25">
      <c r="A23" s="1"/>
      <c r="B23" s="1"/>
      <c r="C23" s="1"/>
      <c r="D23" s="1"/>
    </row>
    <row r="24" spans="1:4" x14ac:dyDescent="0.25">
      <c r="A24" s="1"/>
      <c r="B24" s="1"/>
      <c r="C24" s="1"/>
      <c r="D24" s="1"/>
    </row>
    <row r="25" spans="1:4" x14ac:dyDescent="0.25">
      <c r="A25" s="1"/>
      <c r="B25" s="1"/>
      <c r="C25" s="1"/>
      <c r="D25" s="1"/>
    </row>
    <row r="26" spans="1:4" x14ac:dyDescent="0.25">
      <c r="A26" s="1"/>
      <c r="B26" s="1"/>
      <c r="C26" s="1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1"/>
      <c r="C28" s="1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  <row r="50" spans="1:4" x14ac:dyDescent="0.25">
      <c r="A50" s="1"/>
      <c r="B50" s="1"/>
      <c r="C50" s="1"/>
      <c r="D50" s="1"/>
    </row>
  </sheetData>
  <sheetProtection algorithmName="SHA-512" hashValue="ngX+7nvr+fpB1w/ZpZ7DOcV+3N/mONeNpL1wPFFyCuY9IzDg2Wbd1PerGdSUd01fnnzIJ7wxPGyoGIs70fyNbA==" saltValue="/kxGMZYEyXN8Y37blA7IIQ==" spinCount="100000" sheet="1" objects="1" scenarios="1"/>
  <customSheetViews>
    <customSheetView guid="{61068CEC-D951-4EA8-B2F0-E3FAF0E2CE33}" showPageBreaks="1" showGridLines="0" view="pageLayout" topLeftCell="A4">
      <selection activeCell="C18" sqref="C18"/>
      <pageMargins left="0.8125" right="0.7" top="0.75" bottom="0.75" header="0.3" footer="0.3"/>
      <pageSetup paperSize="9" orientation="portrait" r:id="rId1"/>
    </customSheetView>
  </customSheetViews>
  <mergeCells count="2">
    <mergeCell ref="B3:C4"/>
    <mergeCell ref="B20:C20"/>
  </mergeCells>
  <pageMargins left="0.8125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50"/>
  <sheetViews>
    <sheetView showGridLines="0" view="pageLayout" zoomScaleNormal="100" workbookViewId="0"/>
  </sheetViews>
  <sheetFormatPr defaultColWidth="9" defaultRowHeight="15" x14ac:dyDescent="0.25"/>
  <cols>
    <col min="1" max="1" width="5.140625" style="2" customWidth="1"/>
    <col min="2" max="2" width="60.5703125" style="2" customWidth="1"/>
    <col min="3" max="3" width="9.140625" style="2" hidden="1" customWidth="1"/>
    <col min="4" max="4" width="27.140625" style="2" hidden="1" customWidth="1"/>
    <col min="5" max="5" width="10.140625" style="2" customWidth="1"/>
    <col min="6" max="6" width="3.85546875" style="2" customWidth="1"/>
    <col min="7" max="7" width="6.28515625" style="2" customWidth="1"/>
    <col min="8" max="16384" width="9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4" t="s">
        <v>98</v>
      </c>
      <c r="C3" s="74"/>
      <c r="D3" s="74"/>
      <c r="E3" s="74"/>
      <c r="F3" s="74"/>
      <c r="G3" s="1"/>
    </row>
    <row r="4" spans="1:7" ht="15" customHeight="1" x14ac:dyDescent="0.25">
      <c r="A4" s="1"/>
      <c r="B4" s="74"/>
      <c r="C4" s="74"/>
      <c r="D4" s="74"/>
      <c r="E4" s="74"/>
      <c r="F4" s="7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13</v>
      </c>
      <c r="C8" s="38"/>
      <c r="D8" s="38"/>
      <c r="E8" s="38"/>
      <c r="F8" s="38"/>
      <c r="G8" s="1"/>
    </row>
    <row r="9" spans="1:7" x14ac:dyDescent="0.25">
      <c r="A9" s="1"/>
      <c r="B9" s="44" t="s">
        <v>24</v>
      </c>
      <c r="C9" s="44"/>
      <c r="D9" s="44"/>
      <c r="E9" s="7">
        <f>'Fane 3. Omkostninger i ØR2021'!E16</f>
        <v>7956399.2446567435</v>
      </c>
      <c r="F9" s="44" t="s">
        <v>3</v>
      </c>
      <c r="G9" s="1"/>
    </row>
    <row r="10" spans="1:7" ht="17.100000000000001" customHeight="1" x14ac:dyDescent="0.25">
      <c r="A10" s="1"/>
      <c r="B10" s="33" t="s">
        <v>121</v>
      </c>
      <c r="C10" s="44"/>
      <c r="D10" s="44"/>
      <c r="E10" s="7">
        <f>'Fane 3. Omkostninger i ØR2021'!E13*(1-'Fane 10. Nøgletal'!C19)*(1+'Fane 10. Nøgletal'!C13)</f>
        <v>0</v>
      </c>
      <c r="F10" s="44" t="s">
        <v>3</v>
      </c>
      <c r="G10" s="1"/>
    </row>
    <row r="11" spans="1:7" ht="17.100000000000001" customHeight="1" x14ac:dyDescent="0.25">
      <c r="A11" s="1"/>
      <c r="B11" s="29" t="s">
        <v>60</v>
      </c>
      <c r="C11" s="44"/>
      <c r="D11" s="44"/>
      <c r="E11" s="7">
        <f>'Fane 7.1. Varige tillæg'!C13+'Fane 7.1. Varige tillæg'!E13</f>
        <v>12140.933300000001</v>
      </c>
      <c r="F11" s="44" t="s">
        <v>3</v>
      </c>
      <c r="G11" s="1"/>
    </row>
    <row r="12" spans="1:7" ht="17.100000000000001" customHeight="1" x14ac:dyDescent="0.25">
      <c r="A12" s="1"/>
      <c r="B12" s="29" t="s">
        <v>62</v>
      </c>
      <c r="C12" s="44"/>
      <c r="D12" s="44"/>
      <c r="E12" s="8">
        <f>-('Fane 9. Bortfald'!C12+'Fane 9. Bortfald'!E12)</f>
        <v>0</v>
      </c>
      <c r="F12" s="44" t="s">
        <v>3</v>
      </c>
      <c r="G12" s="1"/>
    </row>
    <row r="13" spans="1:7" ht="17.100000000000001" customHeight="1" x14ac:dyDescent="0.25">
      <c r="A13" s="1"/>
      <c r="B13" s="29" t="s">
        <v>65</v>
      </c>
      <c r="C13" s="44"/>
      <c r="D13" s="44"/>
      <c r="E13" s="8">
        <f>'Fane 8. Tilknyttet virksomhed'!C12+'Fane 8. Tilknyttet virksomhed'!E12</f>
        <v>0</v>
      </c>
      <c r="F13" s="44" t="s">
        <v>3</v>
      </c>
      <c r="G13" s="1"/>
    </row>
    <row r="14" spans="1:7" ht="17.100000000000001" customHeight="1" x14ac:dyDescent="0.25">
      <c r="A14" s="1"/>
      <c r="B14" s="29" t="s">
        <v>18</v>
      </c>
      <c r="C14" s="44"/>
      <c r="D14" s="44"/>
      <c r="E14" s="8">
        <f>E9*'Fane 10. Nøgletal'!C13+SUM(E11:E13)*'Fane 10. Nøgletal'!C14</f>
        <v>97108.135864702286</v>
      </c>
      <c r="F14" s="44" t="s">
        <v>3</v>
      </c>
      <c r="G14" s="1"/>
    </row>
    <row r="15" spans="1:7" ht="17.100000000000001" customHeight="1" x14ac:dyDescent="0.25">
      <c r="A15" s="1"/>
      <c r="B15" s="29" t="s">
        <v>54</v>
      </c>
      <c r="C15" s="44"/>
      <c r="D15" s="44"/>
      <c r="E15" s="8">
        <f>-SUM(E9,E11:E14)*'Fane 10. Nøgletal'!C19</f>
        <v>-137116.02133496458</v>
      </c>
      <c r="F15" s="44" t="s">
        <v>3</v>
      </c>
      <c r="G15" s="1"/>
    </row>
    <row r="16" spans="1:7" ht="15" customHeight="1" x14ac:dyDescent="0.25">
      <c r="A16" s="1"/>
      <c r="B16" s="48" t="s">
        <v>20</v>
      </c>
      <c r="C16" s="37"/>
      <c r="D16" s="37"/>
      <c r="E16" s="9">
        <f>SUM(E9,E11:E15)</f>
        <v>7928532.2924864804</v>
      </c>
      <c r="F16" s="39" t="s">
        <v>3</v>
      </c>
      <c r="G16" s="1"/>
    </row>
    <row r="17" spans="1:7" ht="15" customHeight="1" x14ac:dyDescent="0.25">
      <c r="A17" s="1"/>
      <c r="B17" s="38" t="s">
        <v>12</v>
      </c>
      <c r="C17" s="38"/>
      <c r="D17" s="38"/>
      <c r="E17" s="38"/>
      <c r="F17" s="38"/>
      <c r="G17" s="1"/>
    </row>
    <row r="18" spans="1:7" ht="15" customHeight="1" x14ac:dyDescent="0.25">
      <c r="A18" s="1"/>
      <c r="B18" s="39" t="s">
        <v>12</v>
      </c>
      <c r="C18" s="39"/>
      <c r="D18" s="39"/>
      <c r="E18" s="9">
        <f>'Fane 4. Ikke-påvirkelige omk.'!C15</f>
        <v>3971483.6120168907</v>
      </c>
      <c r="F18" s="39" t="s">
        <v>3</v>
      </c>
      <c r="G18" s="1"/>
    </row>
    <row r="19" spans="1:7" ht="15" customHeight="1" x14ac:dyDescent="0.25">
      <c r="A19" s="1"/>
      <c r="B19" s="38" t="s">
        <v>42</v>
      </c>
      <c r="C19" s="38"/>
      <c r="D19" s="38"/>
      <c r="E19" s="38"/>
      <c r="F19" s="38"/>
      <c r="G19" s="1"/>
    </row>
    <row r="20" spans="1:7" ht="15" customHeight="1" x14ac:dyDescent="0.25">
      <c r="A20" s="1"/>
      <c r="B20" s="29" t="s">
        <v>39</v>
      </c>
      <c r="C20" s="44"/>
      <c r="D20" s="44"/>
      <c r="E20" s="8">
        <f>'Fane 7.2. Engangstillæg'!C13</f>
        <v>0</v>
      </c>
      <c r="F20" s="44" t="s">
        <v>3</v>
      </c>
      <c r="G20" s="1"/>
    </row>
    <row r="21" spans="1:7" x14ac:dyDescent="0.25">
      <c r="A21" s="1"/>
      <c r="B21" s="29" t="s">
        <v>40</v>
      </c>
      <c r="C21" s="44"/>
      <c r="D21" s="44"/>
      <c r="E21" s="8">
        <f>'Fane 7.2. Engangstillæg'!E13</f>
        <v>0</v>
      </c>
      <c r="F21" s="44" t="s">
        <v>3</v>
      </c>
      <c r="G21" s="1"/>
    </row>
    <row r="22" spans="1:7" ht="15" customHeight="1" x14ac:dyDescent="0.25">
      <c r="A22" s="1"/>
      <c r="B22" s="48" t="s">
        <v>43</v>
      </c>
      <c r="C22" s="37"/>
      <c r="D22" s="37"/>
      <c r="E22" s="9">
        <f>SUM(E20:E21)</f>
        <v>0</v>
      </c>
      <c r="F22" s="39" t="s">
        <v>3</v>
      </c>
      <c r="G22" s="1"/>
    </row>
    <row r="23" spans="1:7" x14ac:dyDescent="0.25">
      <c r="A23" s="1"/>
      <c r="B23" s="38" t="s">
        <v>85</v>
      </c>
      <c r="C23" s="38"/>
      <c r="D23" s="38"/>
      <c r="E23" s="38"/>
      <c r="F23" s="38"/>
      <c r="G23" s="1"/>
    </row>
    <row r="24" spans="1:7" x14ac:dyDescent="0.25">
      <c r="A24" s="1"/>
      <c r="B24" s="48" t="s">
        <v>31</v>
      </c>
      <c r="C24" s="37"/>
      <c r="D24" s="37"/>
      <c r="E24" s="9">
        <v>975073.91137475893</v>
      </c>
      <c r="F24" s="39" t="s">
        <v>3</v>
      </c>
      <c r="G24" s="1"/>
    </row>
    <row r="25" spans="1:7" x14ac:dyDescent="0.25">
      <c r="A25" s="1"/>
      <c r="B25" s="48" t="s">
        <v>86</v>
      </c>
      <c r="C25" s="37"/>
      <c r="D25" s="37"/>
      <c r="E25" s="9">
        <f>'Fane 5. Kontrol af ØR2020'!E29</f>
        <v>-1983217.6714332253</v>
      </c>
      <c r="F25" s="39" t="s">
        <v>3</v>
      </c>
      <c r="G25" s="1"/>
    </row>
    <row r="26" spans="1:7" x14ac:dyDescent="0.25">
      <c r="A26" s="1"/>
      <c r="B26" s="38" t="s">
        <v>148</v>
      </c>
      <c r="C26" s="38"/>
      <c r="D26" s="38"/>
      <c r="E26" s="38"/>
      <c r="F26" s="38"/>
      <c r="G26" s="1"/>
    </row>
    <row r="27" spans="1:7" x14ac:dyDescent="0.25">
      <c r="A27" s="1"/>
      <c r="B27" s="39" t="s">
        <v>149</v>
      </c>
      <c r="C27" s="39"/>
      <c r="D27" s="39"/>
      <c r="E27" s="9">
        <v>0</v>
      </c>
      <c r="F27" s="39" t="s">
        <v>3</v>
      </c>
      <c r="G27" s="1"/>
    </row>
    <row r="28" spans="1:7" x14ac:dyDescent="0.25">
      <c r="A28" s="1"/>
      <c r="B28" s="38" t="s">
        <v>26</v>
      </c>
      <c r="C28" s="38"/>
      <c r="D28" s="38"/>
      <c r="E28" s="10">
        <f>SUM(E16,E18,E22,E24,E25,E27)</f>
        <v>10891872.144444905</v>
      </c>
      <c r="F28" s="11" t="s">
        <v>3</v>
      </c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bGAmOYhZl6UlhPSt2oEN4Gje3c/6JicqRBwcApkGmGaZu9ABsPII/46uG7GXuO3mMM//hfJXXeXDnlFisLV7Xg==" saltValue="WuuFi3GHJk6B7C7vv1QmCg==" spinCount="100000" sheet="1" objects="1" scenarios="1"/>
  <customSheetViews>
    <customSheetView guid="{61068CEC-D951-4EA8-B2F0-E3FAF0E2CE33}" showPageBreaks="1" showGridLines="0" hiddenColumns="1" view="pageLayout">
      <selection activeCell="B2" sqref="B2"/>
      <pageMargins left="0.7" right="0.7" top="0.75" bottom="0.75" header="0.3" footer="0.3"/>
      <pageSetup paperSize="9" orientation="portrait" r:id="rId1"/>
    </customSheetView>
  </customSheetViews>
  <mergeCells count="1">
    <mergeCell ref="B3:F4"/>
  </mergeCells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57031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4" t="s">
        <v>99</v>
      </c>
      <c r="C3" s="74"/>
      <c r="D3" s="74"/>
      <c r="E3" s="74"/>
      <c r="F3" s="74"/>
      <c r="G3" s="1"/>
    </row>
    <row r="4" spans="1:7" ht="15" customHeight="1" x14ac:dyDescent="0.25">
      <c r="A4" s="1"/>
      <c r="B4" s="74"/>
      <c r="C4" s="74"/>
      <c r="D4" s="74"/>
      <c r="E4" s="74"/>
      <c r="F4" s="74"/>
      <c r="G4" s="1"/>
    </row>
    <row r="5" spans="1:7" x14ac:dyDescent="0.25">
      <c r="A5" s="1"/>
      <c r="B5" s="75" t="s">
        <v>101</v>
      </c>
      <c r="C5" s="75"/>
      <c r="D5" s="75"/>
      <c r="E5" s="75"/>
      <c r="F5" s="75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38" t="s">
        <v>13</v>
      </c>
      <c r="C7" s="38"/>
      <c r="D7" s="38"/>
      <c r="E7" s="38"/>
      <c r="F7" s="38"/>
      <c r="G7" s="1"/>
    </row>
    <row r="8" spans="1:7" ht="15" customHeight="1" x14ac:dyDescent="0.25">
      <c r="A8" s="1"/>
      <c r="B8" s="44" t="s">
        <v>66</v>
      </c>
      <c r="C8" s="44"/>
      <c r="D8" s="44"/>
      <c r="E8" s="7">
        <f>'Fane 2.1. Økonomisk ramme 2022'!E16</f>
        <v>7928532.2924864804</v>
      </c>
      <c r="F8" s="44" t="s">
        <v>3</v>
      </c>
      <c r="G8" s="1"/>
    </row>
    <row r="9" spans="1:7" ht="15" customHeight="1" x14ac:dyDescent="0.25">
      <c r="A9" s="1"/>
      <c r="B9" s="29" t="s">
        <v>62</v>
      </c>
      <c r="C9" s="44"/>
      <c r="D9" s="44"/>
      <c r="E9" s="7">
        <f>-('Fane 9. Bortfald'!C18+'Fane 9. Bortfald'!E18)</f>
        <v>0</v>
      </c>
      <c r="F9" s="44" t="s">
        <v>3</v>
      </c>
      <c r="G9" s="1"/>
    </row>
    <row r="10" spans="1:7" ht="15" customHeight="1" x14ac:dyDescent="0.25">
      <c r="A10" s="1"/>
      <c r="B10" s="36" t="s">
        <v>18</v>
      </c>
      <c r="C10" s="44"/>
      <c r="D10" s="44"/>
      <c r="E10" s="8">
        <f>SUM(E8:E9)*'Fane 10. Nøgletal'!C14</f>
        <v>26164.156565205387</v>
      </c>
      <c r="F10" s="44" t="s">
        <v>3</v>
      </c>
      <c r="G10" s="1"/>
    </row>
    <row r="11" spans="1:7" ht="15" customHeight="1" x14ac:dyDescent="0.25">
      <c r="A11" s="1"/>
      <c r="B11" s="36" t="s">
        <v>54</v>
      </c>
      <c r="C11" s="44"/>
      <c r="D11" s="44"/>
      <c r="E11" s="8">
        <f>-SUM(E8:E10)*'Fane 10. Nøgletal'!C19</f>
        <v>-135229.83963387867</v>
      </c>
      <c r="F11" s="44" t="s">
        <v>3</v>
      </c>
      <c r="G11" s="1"/>
    </row>
    <row r="12" spans="1:7" ht="15" customHeight="1" x14ac:dyDescent="0.25">
      <c r="A12" s="1"/>
      <c r="B12" s="37" t="s">
        <v>20</v>
      </c>
      <c r="C12" s="37"/>
      <c r="D12" s="37"/>
      <c r="E12" s="9">
        <f>SUM(E8:E11)</f>
        <v>7819466.6094178073</v>
      </c>
      <c r="F12" s="39" t="s">
        <v>3</v>
      </c>
      <c r="G12" s="1"/>
    </row>
    <row r="13" spans="1:7" x14ac:dyDescent="0.25">
      <c r="A13" s="1"/>
      <c r="B13" s="38" t="s">
        <v>12</v>
      </c>
      <c r="C13" s="38"/>
      <c r="D13" s="38"/>
      <c r="E13" s="38"/>
      <c r="F13" s="38"/>
      <c r="G13" s="1"/>
    </row>
    <row r="14" spans="1:7" ht="15" customHeight="1" x14ac:dyDescent="0.25">
      <c r="A14" s="1"/>
      <c r="B14" s="39" t="s">
        <v>12</v>
      </c>
      <c r="C14" s="39"/>
      <c r="D14" s="39"/>
      <c r="E14" s="9">
        <f>'Fane 4. Ikke-påvirkelige omk.'!C15*(1+'Fane 10. Nøgletal'!C14)</f>
        <v>3984589.5079365466</v>
      </c>
      <c r="F14" s="39" t="s">
        <v>3</v>
      </c>
      <c r="G14" s="1"/>
    </row>
    <row r="15" spans="1:7" ht="15" customHeight="1" x14ac:dyDescent="0.25">
      <c r="A15" s="1"/>
      <c r="B15" s="38" t="s">
        <v>42</v>
      </c>
      <c r="C15" s="38"/>
      <c r="D15" s="38"/>
      <c r="E15" s="38"/>
      <c r="F15" s="38"/>
      <c r="G15" s="1"/>
    </row>
    <row r="16" spans="1:7" ht="15" customHeight="1" x14ac:dyDescent="0.25">
      <c r="A16" s="1"/>
      <c r="B16" s="29" t="s">
        <v>39</v>
      </c>
      <c r="C16" s="44"/>
      <c r="D16" s="44"/>
      <c r="E16" s="8">
        <f>'Fane 7.2. Engangstillæg'!C20</f>
        <v>0</v>
      </c>
      <c r="F16" s="44" t="s">
        <v>3</v>
      </c>
      <c r="G16" s="1"/>
    </row>
    <row r="17" spans="1:7" ht="15" customHeight="1" x14ac:dyDescent="0.25">
      <c r="A17" s="1"/>
      <c r="B17" s="29" t="s">
        <v>40</v>
      </c>
      <c r="C17" s="44"/>
      <c r="D17" s="44"/>
      <c r="E17" s="8">
        <f>'Fane 7.2. Engangstillæg'!E20</f>
        <v>0</v>
      </c>
      <c r="F17" s="44" t="s">
        <v>3</v>
      </c>
      <c r="G17" s="1"/>
    </row>
    <row r="18" spans="1:7" ht="15" customHeight="1" x14ac:dyDescent="0.25">
      <c r="A18" s="1"/>
      <c r="B18" s="48" t="s">
        <v>43</v>
      </c>
      <c r="C18" s="37"/>
      <c r="D18" s="37"/>
      <c r="E18" s="9">
        <f>SUM(E16:E17)</f>
        <v>0</v>
      </c>
      <c r="F18" s="39" t="s">
        <v>3</v>
      </c>
      <c r="G18" s="1"/>
    </row>
    <row r="19" spans="1:7" x14ac:dyDescent="0.25">
      <c r="A19" s="1"/>
      <c r="B19" s="38" t="s">
        <v>85</v>
      </c>
      <c r="C19" s="38"/>
      <c r="D19" s="38"/>
      <c r="E19" s="38"/>
      <c r="F19" s="38"/>
      <c r="G19" s="1"/>
    </row>
    <row r="20" spans="1:7" x14ac:dyDescent="0.25">
      <c r="A20" s="1"/>
      <c r="B20" s="39" t="s">
        <v>150</v>
      </c>
      <c r="C20" s="39"/>
      <c r="D20" s="39"/>
      <c r="E20" s="9">
        <f>'Fane 5. Kontrol af ØR2020'!E35</f>
        <v>0</v>
      </c>
      <c r="F20" s="39" t="s">
        <v>3</v>
      </c>
      <c r="G20" s="1"/>
    </row>
    <row r="21" spans="1:7" x14ac:dyDescent="0.25">
      <c r="A21" s="1"/>
      <c r="B21" s="38" t="s">
        <v>47</v>
      </c>
      <c r="C21" s="38"/>
      <c r="D21" s="38"/>
      <c r="E21" s="10">
        <f>SUM(E12,E14,E18,E20)</f>
        <v>11804056.117354354</v>
      </c>
      <c r="F21" s="11" t="s">
        <v>3</v>
      </c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algorithmName="SHA-512" hashValue="iTDgRhhZhixbX5Db33CeYugqxw7wV1GAyMCeeB3HBND+A/g0zEyq/YhycQPLXbKY8icvXknmvp84E25WAn+IiQ==" saltValue="To738zKSV/jk9/OcrgYiBg==" spinCount="100000" sheet="1" objects="1" scenarios="1"/>
  <customSheetViews>
    <customSheetView guid="{61068CEC-D951-4EA8-B2F0-E3FAF0E2CE33}" showPageBreaks="1" showGridLines="0" hiddenColumns="1" view="pageLayout">
      <pageMargins left="0.7" right="0.7" top="0.75" bottom="0.75" header="0.3" footer="0.3"/>
      <pageSetup paperSize="9" orientation="portrait" r:id="rId1"/>
    </customSheetView>
  </customSheetViews>
  <mergeCells count="2">
    <mergeCell ref="B3:F4"/>
    <mergeCell ref="B5:F5"/>
  </mergeCells>
  <pageMargins left="0.7" right="0.7" top="0.75" bottom="0.75" header="0.3" footer="0.3"/>
  <pageSetup paperSize="9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5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4" t="s">
        <v>100</v>
      </c>
      <c r="C3" s="74"/>
      <c r="D3" s="74"/>
      <c r="E3" s="74"/>
      <c r="F3" s="74"/>
      <c r="G3" s="1"/>
    </row>
    <row r="4" spans="1:7" ht="15" customHeight="1" x14ac:dyDescent="0.25">
      <c r="A4" s="1"/>
      <c r="B4" s="74"/>
      <c r="C4" s="74"/>
      <c r="D4" s="74"/>
      <c r="E4" s="74"/>
      <c r="F4" s="74"/>
      <c r="G4" s="1"/>
    </row>
    <row r="5" spans="1:7" x14ac:dyDescent="0.25">
      <c r="A5" s="1"/>
      <c r="B5" s="75" t="s">
        <v>21</v>
      </c>
      <c r="C5" s="75"/>
      <c r="D5" s="75"/>
      <c r="E5" s="75"/>
      <c r="F5" s="75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38" t="s">
        <v>13</v>
      </c>
      <c r="C7" s="38"/>
      <c r="D7" s="38"/>
      <c r="E7" s="38"/>
      <c r="F7" s="38"/>
      <c r="G7" s="1"/>
    </row>
    <row r="8" spans="1:7" ht="15" customHeight="1" x14ac:dyDescent="0.25">
      <c r="A8" s="1"/>
      <c r="B8" s="44" t="s">
        <v>67</v>
      </c>
      <c r="C8" s="44"/>
      <c r="D8" s="44"/>
      <c r="E8" s="7">
        <f>'Fane 2.2. Økonomisk ramme 2023'!E12</f>
        <v>7819466.6094178073</v>
      </c>
      <c r="F8" s="44" t="s">
        <v>3</v>
      </c>
      <c r="G8" s="1"/>
    </row>
    <row r="9" spans="1:7" ht="15" customHeight="1" x14ac:dyDescent="0.25">
      <c r="A9" s="1"/>
      <c r="B9" s="44" t="s">
        <v>62</v>
      </c>
      <c r="C9" s="44"/>
      <c r="D9" s="44"/>
      <c r="E9" s="7">
        <f>-('Fane 9. Bortfald'!C24+'Fane 9. Bortfald'!E24)</f>
        <v>0</v>
      </c>
      <c r="F9" s="44" t="s">
        <v>3</v>
      </c>
      <c r="G9" s="1"/>
    </row>
    <row r="10" spans="1:7" ht="15" customHeight="1" x14ac:dyDescent="0.25">
      <c r="A10" s="1"/>
      <c r="B10" s="36" t="s">
        <v>18</v>
      </c>
      <c r="C10" s="44"/>
      <c r="D10" s="44"/>
      <c r="E10" s="8">
        <f>SUM(E8:E9)*'Fane 10. Nøgletal'!C14</f>
        <v>25804.239811078765</v>
      </c>
      <c r="F10" s="44" t="s">
        <v>3</v>
      </c>
      <c r="G10" s="1"/>
    </row>
    <row r="11" spans="1:7" ht="15" customHeight="1" x14ac:dyDescent="0.25">
      <c r="A11" s="1"/>
      <c r="B11" s="36" t="s">
        <v>54</v>
      </c>
      <c r="C11" s="44"/>
      <c r="D11" s="44"/>
      <c r="E11" s="8">
        <f>-SUM(E8:E10)*'Fane 10. Nøgletal'!C19</f>
        <v>-133369.60443689107</v>
      </c>
      <c r="F11" s="44" t="s">
        <v>3</v>
      </c>
      <c r="G11" s="1"/>
    </row>
    <row r="12" spans="1:7" x14ac:dyDescent="0.25">
      <c r="A12" s="1"/>
      <c r="B12" s="37" t="s">
        <v>20</v>
      </c>
      <c r="C12" s="37"/>
      <c r="D12" s="37"/>
      <c r="E12" s="9">
        <f>SUM(E8:E11)</f>
        <v>7711901.2447919948</v>
      </c>
      <c r="F12" s="39" t="s">
        <v>3</v>
      </c>
      <c r="G12" s="1"/>
    </row>
    <row r="13" spans="1:7" x14ac:dyDescent="0.25">
      <c r="A13" s="1"/>
      <c r="B13" s="38" t="s">
        <v>12</v>
      </c>
      <c r="C13" s="38"/>
      <c r="D13" s="38"/>
      <c r="E13" s="38"/>
      <c r="F13" s="38"/>
      <c r="G13" s="1"/>
    </row>
    <row r="14" spans="1:7" ht="15" customHeight="1" x14ac:dyDescent="0.25">
      <c r="A14" s="1"/>
      <c r="B14" s="39" t="s">
        <v>12</v>
      </c>
      <c r="C14" s="39"/>
      <c r="D14" s="39"/>
      <c r="E14" s="9">
        <f>'Fane 4. Ikke-påvirkelige omk.'!C15*(1+'Fane 10. Nøgletal'!C14)^2</f>
        <v>3997738.6533127376</v>
      </c>
      <c r="F14" s="39" t="s">
        <v>3</v>
      </c>
      <c r="G14" s="1"/>
    </row>
    <row r="15" spans="1:7" ht="15" customHeight="1" x14ac:dyDescent="0.25">
      <c r="A15" s="1"/>
      <c r="B15" s="38" t="s">
        <v>42</v>
      </c>
      <c r="C15" s="38"/>
      <c r="D15" s="38"/>
      <c r="E15" s="38"/>
      <c r="F15" s="38"/>
      <c r="G15" s="1"/>
    </row>
    <row r="16" spans="1:7" ht="15" customHeight="1" x14ac:dyDescent="0.25">
      <c r="A16" s="1"/>
      <c r="B16" s="29" t="s">
        <v>39</v>
      </c>
      <c r="C16" s="44"/>
      <c r="D16" s="44"/>
      <c r="E16" s="8">
        <f>'Fane 7.2. Engangstillæg'!C27</f>
        <v>0</v>
      </c>
      <c r="F16" s="44" t="s">
        <v>3</v>
      </c>
      <c r="G16" s="1"/>
    </row>
    <row r="17" spans="1:7" ht="15" customHeight="1" x14ac:dyDescent="0.25">
      <c r="A17" s="1"/>
      <c r="B17" s="29" t="s">
        <v>40</v>
      </c>
      <c r="C17" s="44"/>
      <c r="D17" s="44"/>
      <c r="E17" s="8">
        <f>'Fane 7.2. Engangstillæg'!E27</f>
        <v>0</v>
      </c>
      <c r="F17" s="44" t="s">
        <v>3</v>
      </c>
      <c r="G17" s="1"/>
    </row>
    <row r="18" spans="1:7" ht="15" customHeight="1" x14ac:dyDescent="0.25">
      <c r="A18" s="1"/>
      <c r="B18" s="48" t="s">
        <v>43</v>
      </c>
      <c r="C18" s="37"/>
      <c r="D18" s="37"/>
      <c r="E18" s="9">
        <f>SUM(E16:E17)</f>
        <v>0</v>
      </c>
      <c r="F18" s="39" t="s">
        <v>3</v>
      </c>
      <c r="G18" s="1"/>
    </row>
    <row r="19" spans="1:7" ht="15" customHeight="1" x14ac:dyDescent="0.25">
      <c r="A19" s="1"/>
      <c r="B19" s="38" t="s">
        <v>85</v>
      </c>
      <c r="C19" s="38"/>
      <c r="D19" s="38"/>
      <c r="E19" s="38"/>
      <c r="F19" s="38"/>
      <c r="G19" s="1"/>
    </row>
    <row r="20" spans="1:7" ht="15" customHeight="1" x14ac:dyDescent="0.25">
      <c r="A20" s="1"/>
      <c r="B20" s="39" t="s">
        <v>86</v>
      </c>
      <c r="C20" s="39"/>
      <c r="D20" s="39"/>
      <c r="E20" s="9">
        <f>'Fane 5. Kontrol af ØR2020'!E35</f>
        <v>0</v>
      </c>
      <c r="F20" s="39" t="s">
        <v>3</v>
      </c>
      <c r="G20" s="1"/>
    </row>
    <row r="21" spans="1:7" x14ac:dyDescent="0.25">
      <c r="A21" s="1"/>
      <c r="B21" s="38" t="s">
        <v>68</v>
      </c>
      <c r="C21" s="38"/>
      <c r="D21" s="38"/>
      <c r="E21" s="10">
        <f>SUM(E12,E14,E18,E20)</f>
        <v>11709639.898104733</v>
      </c>
      <c r="F21" s="11" t="s">
        <v>3</v>
      </c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  <row r="51" spans="1:7" x14ac:dyDescent="0.25">
      <c r="A51" s="1"/>
      <c r="B51" s="1"/>
      <c r="C51" s="1"/>
      <c r="D51" s="1"/>
      <c r="E51" s="1"/>
      <c r="F51" s="1"/>
      <c r="G51" s="1"/>
    </row>
  </sheetData>
  <sheetProtection algorithmName="SHA-512" hashValue="M9WJRzQSuurUrgr3D15sYFH/+qCGpo8ijyw3c9XRLmOIGLTNPNUUWpkDdlFpZ2o4H0kq1spQxNGxwIKuya/w/w==" saltValue="jWLnFAJkaz5EmlJwnB59gQ==" spinCount="100000" sheet="1" objects="1" scenarios="1"/>
  <customSheetViews>
    <customSheetView guid="{61068CEC-D951-4EA8-B2F0-E3FAF0E2CE33}" showPageBreaks="1" showGridLines="0" hiddenColumns="1" view="pageLayout">
      <pageMargins left="0.7" right="0.7" top="0.75" bottom="0.75" header="0.3" footer="0.3"/>
      <pageSetup paperSize="9" orientation="portrait" r:id="rId1"/>
    </customSheetView>
  </customSheetViews>
  <mergeCells count="2">
    <mergeCell ref="B3:F4"/>
    <mergeCell ref="B5:F5"/>
  </mergeCells>
  <pageMargins left="0.7" right="0.7" top="0.75" bottom="0.75" header="0.3" footer="0.3"/>
  <pageSetup paperSize="9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G5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4" t="s">
        <v>102</v>
      </c>
      <c r="C3" s="74"/>
      <c r="D3" s="74"/>
      <c r="E3" s="74"/>
      <c r="F3" s="74"/>
      <c r="G3" s="1"/>
    </row>
    <row r="4" spans="1:7" ht="15" customHeight="1" x14ac:dyDescent="0.25">
      <c r="A4" s="1"/>
      <c r="B4" s="74"/>
      <c r="C4" s="74"/>
      <c r="D4" s="74"/>
      <c r="E4" s="74"/>
      <c r="F4" s="74"/>
      <c r="G4" s="1"/>
    </row>
    <row r="5" spans="1:7" x14ac:dyDescent="0.25">
      <c r="A5" s="1"/>
      <c r="B5" s="75" t="s">
        <v>21</v>
      </c>
      <c r="C5" s="75"/>
      <c r="D5" s="75"/>
      <c r="E5" s="75"/>
      <c r="F5" s="75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38" t="s">
        <v>13</v>
      </c>
      <c r="C7" s="38"/>
      <c r="D7" s="38"/>
      <c r="E7" s="38"/>
      <c r="F7" s="38"/>
      <c r="G7" s="1"/>
    </row>
    <row r="8" spans="1:7" ht="15" customHeight="1" x14ac:dyDescent="0.25">
      <c r="A8" s="1"/>
      <c r="B8" s="44" t="s">
        <v>103</v>
      </c>
      <c r="C8" s="44"/>
      <c r="D8" s="44"/>
      <c r="E8" s="7">
        <f>'Fane 2.3. Økonomisk ramme 2024'!E12</f>
        <v>7711901.2447919948</v>
      </c>
      <c r="F8" s="44" t="s">
        <v>3</v>
      </c>
      <c r="G8" s="1"/>
    </row>
    <row r="9" spans="1:7" ht="15" customHeight="1" x14ac:dyDescent="0.25">
      <c r="A9" s="1"/>
      <c r="B9" s="44" t="s">
        <v>62</v>
      </c>
      <c r="C9" s="44"/>
      <c r="D9" s="44"/>
      <c r="E9" s="7">
        <f>-('Fane 9. Bortfald'!C30+'Fane 9. Bortfald'!E30)</f>
        <v>0</v>
      </c>
      <c r="F9" s="44" t="s">
        <v>3</v>
      </c>
      <c r="G9" s="1"/>
    </row>
    <row r="10" spans="1:7" ht="15" customHeight="1" x14ac:dyDescent="0.25">
      <c r="A10" s="1"/>
      <c r="B10" s="36" t="s">
        <v>18</v>
      </c>
      <c r="C10" s="44"/>
      <c r="D10" s="44"/>
      <c r="E10" s="8">
        <f>SUM(E8:E9)*'Fane 10. Nøgletal'!C14</f>
        <v>25449.274107813584</v>
      </c>
      <c r="F10" s="44" t="s">
        <v>3</v>
      </c>
      <c r="G10" s="1"/>
    </row>
    <row r="11" spans="1:7" ht="15" customHeight="1" x14ac:dyDescent="0.25">
      <c r="A11" s="1"/>
      <c r="B11" s="36" t="s">
        <v>54</v>
      </c>
      <c r="C11" s="44"/>
      <c r="D11" s="44"/>
      <c r="E11" s="8">
        <f>-SUM(E8:E10)*'Fane 10. Nøgletal'!C19</f>
        <v>-131534.95882129675</v>
      </c>
      <c r="F11" s="44" t="s">
        <v>3</v>
      </c>
      <c r="G11" s="1"/>
    </row>
    <row r="12" spans="1:7" x14ac:dyDescent="0.25">
      <c r="A12" s="1"/>
      <c r="B12" s="37" t="s">
        <v>20</v>
      </c>
      <c r="C12" s="37"/>
      <c r="D12" s="37"/>
      <c r="E12" s="9">
        <f>SUM(E8:E11)</f>
        <v>7605815.5600785119</v>
      </c>
      <c r="F12" s="39" t="s">
        <v>3</v>
      </c>
      <c r="G12" s="1"/>
    </row>
    <row r="13" spans="1:7" x14ac:dyDescent="0.25">
      <c r="A13" s="1"/>
      <c r="B13" s="38" t="s">
        <v>12</v>
      </c>
      <c r="C13" s="38"/>
      <c r="D13" s="38"/>
      <c r="E13" s="38"/>
      <c r="F13" s="38"/>
      <c r="G13" s="1"/>
    </row>
    <row r="14" spans="1:7" ht="15" customHeight="1" x14ac:dyDescent="0.25">
      <c r="A14" s="1"/>
      <c r="B14" s="39" t="s">
        <v>12</v>
      </c>
      <c r="C14" s="39"/>
      <c r="D14" s="39"/>
      <c r="E14" s="9">
        <f>'Fane 4. Ikke-påvirkelige omk.'!C15*(1+'Fane 10. Nøgletal'!C14)^3</f>
        <v>4010931.1908686701</v>
      </c>
      <c r="F14" s="39" t="s">
        <v>3</v>
      </c>
      <c r="G14" s="1"/>
    </row>
    <row r="15" spans="1:7" ht="15" customHeight="1" x14ac:dyDescent="0.25">
      <c r="A15" s="1"/>
      <c r="B15" s="38" t="s">
        <v>42</v>
      </c>
      <c r="C15" s="38"/>
      <c r="D15" s="38"/>
      <c r="E15" s="38"/>
      <c r="F15" s="38"/>
      <c r="G15" s="1"/>
    </row>
    <row r="16" spans="1:7" ht="15" customHeight="1" x14ac:dyDescent="0.25">
      <c r="A16" s="1"/>
      <c r="B16" s="29" t="s">
        <v>39</v>
      </c>
      <c r="C16" s="44"/>
      <c r="D16" s="44"/>
      <c r="E16" s="8">
        <f>'Fane 7.2. Engangstillæg'!C34</f>
        <v>0</v>
      </c>
      <c r="F16" s="44" t="s">
        <v>3</v>
      </c>
      <c r="G16" s="1"/>
    </row>
    <row r="17" spans="1:7" ht="15" customHeight="1" x14ac:dyDescent="0.25">
      <c r="A17" s="1"/>
      <c r="B17" s="29" t="s">
        <v>40</v>
      </c>
      <c r="C17" s="44"/>
      <c r="D17" s="44"/>
      <c r="E17" s="8">
        <f>'Fane 7.2. Engangstillæg'!E34</f>
        <v>0</v>
      </c>
      <c r="F17" s="44" t="s">
        <v>3</v>
      </c>
      <c r="G17" s="1"/>
    </row>
    <row r="18" spans="1:7" ht="15" customHeight="1" x14ac:dyDescent="0.25">
      <c r="A18" s="1"/>
      <c r="B18" s="48" t="s">
        <v>43</v>
      </c>
      <c r="C18" s="37"/>
      <c r="D18" s="37"/>
      <c r="E18" s="9">
        <f>SUM(E16:E17)</f>
        <v>0</v>
      </c>
      <c r="F18" s="39" t="s">
        <v>3</v>
      </c>
      <c r="G18" s="1"/>
    </row>
    <row r="19" spans="1:7" ht="15" customHeight="1" x14ac:dyDescent="0.25">
      <c r="A19" s="1"/>
      <c r="B19" s="38" t="s">
        <v>85</v>
      </c>
      <c r="C19" s="38"/>
      <c r="D19" s="38"/>
      <c r="E19" s="38"/>
      <c r="F19" s="38"/>
      <c r="G19" s="1"/>
    </row>
    <row r="20" spans="1:7" ht="15" customHeight="1" x14ac:dyDescent="0.25">
      <c r="A20" s="1"/>
      <c r="B20" s="39" t="s">
        <v>86</v>
      </c>
      <c r="C20" s="39"/>
      <c r="D20" s="39"/>
      <c r="E20" s="9">
        <f>'Fane 5. Kontrol af ØR2020'!E35</f>
        <v>0</v>
      </c>
      <c r="F20" s="39" t="s">
        <v>3</v>
      </c>
      <c r="G20" s="1"/>
    </row>
    <row r="21" spans="1:7" x14ac:dyDescent="0.25">
      <c r="A21" s="1"/>
      <c r="B21" s="38" t="s">
        <v>104</v>
      </c>
      <c r="C21" s="38"/>
      <c r="D21" s="38"/>
      <c r="E21" s="10">
        <f>SUM(E12,E14,E18,E20)</f>
        <v>11616746.750947181</v>
      </c>
      <c r="F21" s="11" t="s">
        <v>3</v>
      </c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  <row r="51" spans="1:7" x14ac:dyDescent="0.25">
      <c r="A51" s="1"/>
      <c r="B51" s="1"/>
      <c r="C51" s="1"/>
      <c r="D51" s="1"/>
      <c r="E51" s="1"/>
      <c r="F51" s="1"/>
      <c r="G51" s="1"/>
    </row>
  </sheetData>
  <sheetProtection algorithmName="SHA-512" hashValue="U0N/S8f6212kPIaCi72GUr0tvsXs+Bxi1gGKpDQpkAENCM2H9dAgQEbfhkGHCFpQnejG2BcqGay8y5c615zyPw==" saltValue="DRBz0WW+cefpsdPla0QqgQ==" spinCount="100000" sheet="1" objects="1" scenarios="1"/>
  <customSheetViews>
    <customSheetView guid="{61068CEC-D951-4EA8-B2F0-E3FAF0E2CE33}" showPageBreaks="1" showGridLines="0" hiddenColumns="1" view="pageLayout">
      <pageMargins left="0.7" right="0.7" top="0.75" bottom="0.75" header="0.3" footer="0.3"/>
      <pageSetup paperSize="9" orientation="portrait" r:id="rId1"/>
    </customSheetView>
  </customSheetViews>
  <mergeCells count="2">
    <mergeCell ref="B3:F4"/>
    <mergeCell ref="B5:F5"/>
  </mergeCells>
  <pageMargins left="0.7" right="0.7" top="0.75" bottom="0.75" header="0.3" footer="0.3"/>
  <pageSetup paperSize="9"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4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39.85546875" style="2" customWidth="1"/>
    <col min="5" max="5" width="9.5703125" style="2" bestFit="1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7" t="s">
        <v>105</v>
      </c>
      <c r="C3" s="87"/>
      <c r="D3" s="87"/>
      <c r="E3" s="87"/>
      <c r="F3" s="87"/>
      <c r="G3" s="1"/>
    </row>
    <row r="4" spans="1:7" ht="29.25" customHeight="1" x14ac:dyDescent="0.25">
      <c r="A4" s="1"/>
      <c r="B4" s="87"/>
      <c r="C4" s="87"/>
      <c r="D4" s="87"/>
      <c r="E4" s="87"/>
      <c r="F4" s="87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126</v>
      </c>
      <c r="C8" s="38"/>
      <c r="D8" s="38"/>
      <c r="E8" s="38"/>
      <c r="F8" s="38"/>
      <c r="G8" s="1"/>
    </row>
    <row r="9" spans="1:7" x14ac:dyDescent="0.25">
      <c r="A9" s="1"/>
      <c r="B9" s="88" t="s">
        <v>23</v>
      </c>
      <c r="C9" s="88"/>
      <c r="D9" s="88"/>
      <c r="E9" s="7">
        <v>7228730.8693400826</v>
      </c>
      <c r="F9" s="44" t="s">
        <v>3</v>
      </c>
      <c r="G9" s="1"/>
    </row>
    <row r="10" spans="1:7" x14ac:dyDescent="0.25">
      <c r="A10" s="1"/>
      <c r="B10" s="77" t="s">
        <v>128</v>
      </c>
      <c r="C10" s="77"/>
      <c r="D10" s="77"/>
      <c r="E10" s="7">
        <v>673844.39728438214</v>
      </c>
      <c r="F10" s="44" t="s">
        <v>3</v>
      </c>
      <c r="G10" s="1"/>
    </row>
    <row r="11" spans="1:7" x14ac:dyDescent="0.25">
      <c r="A11" s="1"/>
      <c r="B11" s="77" t="s">
        <v>60</v>
      </c>
      <c r="C11" s="77"/>
      <c r="D11" s="77"/>
      <c r="E11" s="7">
        <v>93865.354800000001</v>
      </c>
      <c r="F11" s="44" t="s">
        <v>3</v>
      </c>
      <c r="G11" s="1"/>
    </row>
    <row r="12" spans="1:7" x14ac:dyDescent="0.25">
      <c r="A12" s="1"/>
      <c r="B12" s="77" t="s">
        <v>65</v>
      </c>
      <c r="C12" s="77"/>
      <c r="D12" s="77"/>
      <c r="E12" s="7">
        <v>0</v>
      </c>
      <c r="F12" s="44" t="s">
        <v>3</v>
      </c>
      <c r="G12" s="1"/>
    </row>
    <row r="13" spans="1:7" x14ac:dyDescent="0.25">
      <c r="A13" s="1"/>
      <c r="B13" s="77" t="s">
        <v>61</v>
      </c>
      <c r="C13" s="77"/>
      <c r="D13" s="77"/>
      <c r="E13" s="8">
        <v>0</v>
      </c>
      <c r="F13" s="44" t="s">
        <v>3</v>
      </c>
      <c r="G13" s="1"/>
    </row>
    <row r="14" spans="1:7" x14ac:dyDescent="0.25">
      <c r="A14" s="1"/>
      <c r="B14" s="77" t="s">
        <v>18</v>
      </c>
      <c r="C14" s="77"/>
      <c r="D14" s="77"/>
      <c r="E14" s="8">
        <f>SUM(E9:E13)*'Fane 10. Nøgletal'!C13</f>
        <v>97556.575581378478</v>
      </c>
      <c r="F14" s="44" t="s">
        <v>3</v>
      </c>
      <c r="G14" s="1"/>
    </row>
    <row r="15" spans="1:7" x14ac:dyDescent="0.25">
      <c r="A15" s="1"/>
      <c r="B15" s="77" t="s">
        <v>54</v>
      </c>
      <c r="C15" s="77"/>
      <c r="D15" s="77"/>
      <c r="E15" s="8">
        <f>-SUM(E9:E14)*'Fane 10. Nøgletal'!C19</f>
        <v>-137597.95234909933</v>
      </c>
      <c r="F15" s="44" t="s">
        <v>3</v>
      </c>
      <c r="G15" s="1"/>
    </row>
    <row r="16" spans="1:7" x14ac:dyDescent="0.25">
      <c r="A16" s="1"/>
      <c r="B16" s="78" t="s">
        <v>20</v>
      </c>
      <c r="C16" s="78"/>
      <c r="D16" s="78"/>
      <c r="E16" s="9">
        <f>SUM(E9:E15)</f>
        <v>7956399.2446567435</v>
      </c>
      <c r="F16" s="39" t="s">
        <v>3</v>
      </c>
      <c r="G16" s="1"/>
    </row>
    <row r="17" spans="1:7" x14ac:dyDescent="0.25">
      <c r="A17" s="1"/>
      <c r="B17" s="79" t="s">
        <v>12</v>
      </c>
      <c r="C17" s="79"/>
      <c r="D17" s="79"/>
      <c r="E17" s="38"/>
      <c r="F17" s="38"/>
      <c r="G17" s="1"/>
    </row>
    <row r="18" spans="1:7" x14ac:dyDescent="0.25">
      <c r="A18" s="1"/>
      <c r="B18" s="80" t="s">
        <v>12</v>
      </c>
      <c r="C18" s="80"/>
      <c r="D18" s="80"/>
      <c r="E18" s="9">
        <v>4695318.8167334404</v>
      </c>
      <c r="F18" s="39" t="s">
        <v>3</v>
      </c>
      <c r="G18" s="1"/>
    </row>
    <row r="19" spans="1:7" ht="15.4" customHeight="1" x14ac:dyDescent="0.25">
      <c r="A19" s="1"/>
      <c r="B19" s="38" t="s">
        <v>42</v>
      </c>
      <c r="C19" s="38"/>
      <c r="D19" s="38"/>
      <c r="E19" s="38"/>
      <c r="F19" s="38"/>
      <c r="G19" s="1"/>
    </row>
    <row r="20" spans="1:7" ht="15.75" customHeight="1" x14ac:dyDescent="0.25">
      <c r="A20" s="1"/>
      <c r="B20" s="81" t="s">
        <v>39</v>
      </c>
      <c r="C20" s="82"/>
      <c r="D20" s="83"/>
      <c r="E20" s="35">
        <v>0</v>
      </c>
      <c r="F20" s="32" t="s">
        <v>3</v>
      </c>
      <c r="G20" s="1"/>
    </row>
    <row r="21" spans="1:7" x14ac:dyDescent="0.25">
      <c r="A21" s="1"/>
      <c r="B21" s="81" t="s">
        <v>40</v>
      </c>
      <c r="C21" s="82"/>
      <c r="D21" s="83"/>
      <c r="E21" s="35">
        <v>0</v>
      </c>
      <c r="F21" s="32" t="s">
        <v>3</v>
      </c>
      <c r="G21" s="1"/>
    </row>
    <row r="22" spans="1:7" x14ac:dyDescent="0.25">
      <c r="A22" s="1"/>
      <c r="B22" s="84" t="s">
        <v>43</v>
      </c>
      <c r="C22" s="85"/>
      <c r="D22" s="86"/>
      <c r="E22" s="9">
        <v>0</v>
      </c>
      <c r="F22" s="9" t="s">
        <v>3</v>
      </c>
      <c r="G22" s="1"/>
    </row>
    <row r="23" spans="1:7" ht="15.75" customHeight="1" x14ac:dyDescent="0.25">
      <c r="A23" s="1"/>
      <c r="B23" s="38" t="s">
        <v>85</v>
      </c>
      <c r="C23" s="38"/>
      <c r="D23" s="38"/>
      <c r="E23" s="38"/>
      <c r="F23" s="38"/>
      <c r="G23" s="1"/>
    </row>
    <row r="24" spans="1:7" x14ac:dyDescent="0.25">
      <c r="A24" s="1"/>
      <c r="B24" s="48" t="s">
        <v>31</v>
      </c>
      <c r="C24" s="37"/>
      <c r="D24" s="37"/>
      <c r="E24" s="9">
        <v>975073.91137475893</v>
      </c>
      <c r="F24" s="39" t="s">
        <v>3</v>
      </c>
      <c r="G24" s="1"/>
    </row>
    <row r="25" spans="1:7" x14ac:dyDescent="0.25">
      <c r="A25" s="1"/>
      <c r="B25" s="48" t="s">
        <v>86</v>
      </c>
      <c r="C25" s="37"/>
      <c r="D25" s="37"/>
      <c r="E25" s="9">
        <v>-2396867.3910947852</v>
      </c>
      <c r="F25" s="39" t="s">
        <v>3</v>
      </c>
      <c r="G25" s="1"/>
    </row>
    <row r="26" spans="1:7" ht="15" customHeight="1" x14ac:dyDescent="0.25">
      <c r="A26" s="1"/>
      <c r="B26" s="38" t="s">
        <v>25</v>
      </c>
      <c r="C26" s="38"/>
      <c r="D26" s="38"/>
      <c r="E26" s="10">
        <f>E16+E18+E22+E24+E25</f>
        <v>11229924.581670158</v>
      </c>
      <c r="F26" s="11" t="s">
        <v>3</v>
      </c>
      <c r="G26" s="1"/>
    </row>
    <row r="27" spans="1:7" ht="27" customHeight="1" x14ac:dyDescent="0.25">
      <c r="A27" s="1"/>
      <c r="B27" s="76" t="s">
        <v>120</v>
      </c>
      <c r="C27" s="76"/>
      <c r="D27" s="76"/>
      <c r="E27" s="76"/>
      <c r="F27" s="76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  <row r="51" spans="1:7" x14ac:dyDescent="0.25">
      <c r="A51" s="1"/>
      <c r="B51" s="1"/>
      <c r="C51" s="1"/>
      <c r="D51" s="1"/>
      <c r="E51" s="1"/>
      <c r="F51" s="1"/>
      <c r="G51" s="1"/>
    </row>
    <row r="52" spans="1:7" x14ac:dyDescent="0.25">
      <c r="A52" s="1"/>
      <c r="B52" s="1"/>
      <c r="C52" s="1"/>
      <c r="D52" s="1"/>
      <c r="E52" s="1"/>
      <c r="F52" s="1"/>
      <c r="G52" s="1"/>
    </row>
    <row r="53" spans="1:7" x14ac:dyDescent="0.25">
      <c r="A53" s="1"/>
      <c r="B53" s="1"/>
      <c r="C53" s="1"/>
      <c r="D53" s="1"/>
      <c r="E53" s="1"/>
      <c r="F53" s="1"/>
      <c r="G53" s="1"/>
    </row>
    <row r="54" spans="1:7" x14ac:dyDescent="0.25">
      <c r="A54" s="1"/>
      <c r="B54" s="1"/>
      <c r="C54" s="1"/>
      <c r="D54" s="1"/>
      <c r="E54" s="1"/>
      <c r="F54" s="1"/>
      <c r="G54" s="1"/>
    </row>
  </sheetData>
  <sheetProtection algorithmName="SHA-512" hashValue="mCmBgUt0zgdvPv+EmKtOqefURkmeJ5q0CUa8ND0aUOMSm3lRyRceFNMtPONaBHBPfqyaTf58w3ZQD8JxlzrbgQ==" saltValue="wZnGkpOBRTG9A+yxUITVWQ==" spinCount="100000" sheet="1" objects="1" scenarios="1"/>
  <customSheetViews>
    <customSheetView guid="{61068CEC-D951-4EA8-B2F0-E3FAF0E2CE33}" showPageBreaks="1" showGridLines="0" view="pageLayout" topLeftCell="A7">
      <selection activeCell="E15" sqref="E15"/>
      <pageMargins left="0.7" right="0.7" top="0.75" bottom="0.75" header="0.3" footer="0.3"/>
      <pageSetup paperSize="9" orientation="portrait" r:id="rId1"/>
    </customSheetView>
  </customSheetViews>
  <mergeCells count="15">
    <mergeCell ref="B3:F4"/>
    <mergeCell ref="B9:D9"/>
    <mergeCell ref="B11:D11"/>
    <mergeCell ref="B13:D13"/>
    <mergeCell ref="B14:D14"/>
    <mergeCell ref="B10:D10"/>
    <mergeCell ref="B12:D12"/>
    <mergeCell ref="B27:F27"/>
    <mergeCell ref="B15:D15"/>
    <mergeCell ref="B16:D16"/>
    <mergeCell ref="B17:D17"/>
    <mergeCell ref="B18:D18"/>
    <mergeCell ref="B20:D20"/>
    <mergeCell ref="B21:D21"/>
    <mergeCell ref="B22:D22"/>
  </mergeCells>
  <pageMargins left="0.7" right="0.7" top="0.75" bottom="0.75" header="0.3" footer="0.3"/>
  <pageSetup paperSize="9" orientation="portrait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1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74" t="s">
        <v>53</v>
      </c>
      <c r="C3" s="74"/>
      <c r="D3" s="74"/>
      <c r="E3" s="1"/>
      <c r="F3" s="1"/>
    </row>
    <row r="4" spans="1:6" ht="15" customHeight="1" x14ac:dyDescent="0.25">
      <c r="A4" s="1"/>
      <c r="B4" s="74"/>
      <c r="C4" s="74"/>
      <c r="D4" s="74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89" t="s">
        <v>107</v>
      </c>
      <c r="C8" s="90"/>
      <c r="D8" s="91"/>
      <c r="E8" s="1"/>
      <c r="F8" s="1"/>
    </row>
    <row r="9" spans="1:6" ht="15" customHeight="1" x14ac:dyDescent="0.25">
      <c r="A9" s="1"/>
      <c r="B9" s="17" t="s">
        <v>29</v>
      </c>
      <c r="C9" s="39" t="s">
        <v>106</v>
      </c>
      <c r="D9" s="39"/>
      <c r="E9" s="1"/>
      <c r="F9" s="1"/>
    </row>
    <row r="10" spans="1:6" ht="15" customHeight="1" x14ac:dyDescent="0.25">
      <c r="A10" s="1"/>
      <c r="B10" s="28" t="s">
        <v>130</v>
      </c>
      <c r="C10" s="8">
        <v>3926053</v>
      </c>
      <c r="D10" s="12" t="s">
        <v>3</v>
      </c>
      <c r="E10" s="1"/>
      <c r="F10" s="1"/>
    </row>
    <row r="11" spans="1:6" x14ac:dyDescent="0.25">
      <c r="A11" s="1"/>
      <c r="B11" s="28" t="s">
        <v>131</v>
      </c>
      <c r="C11" s="8">
        <v>15525</v>
      </c>
      <c r="D11" s="12" t="s">
        <v>3</v>
      </c>
      <c r="E11" s="1"/>
      <c r="F11" s="1"/>
    </row>
    <row r="12" spans="1:6" x14ac:dyDescent="0.25">
      <c r="A12" s="1"/>
      <c r="B12" s="28" t="s">
        <v>132</v>
      </c>
      <c r="C12" s="8">
        <v>2015</v>
      </c>
      <c r="D12" s="12" t="s">
        <v>3</v>
      </c>
      <c r="E12" s="1"/>
      <c r="F12" s="1"/>
    </row>
    <row r="13" spans="1:6" x14ac:dyDescent="0.25">
      <c r="A13" s="1"/>
      <c r="B13" s="28" t="s">
        <v>133</v>
      </c>
      <c r="C13" s="8">
        <v>1808</v>
      </c>
      <c r="D13" s="12" t="s">
        <v>3</v>
      </c>
      <c r="E13" s="1"/>
      <c r="F13" s="1"/>
    </row>
    <row r="14" spans="1:6" x14ac:dyDescent="0.25">
      <c r="A14" s="1"/>
      <c r="B14" s="54" t="s">
        <v>108</v>
      </c>
      <c r="C14" s="10">
        <f>SUM(C10:C13)</f>
        <v>3945401</v>
      </c>
      <c r="D14" s="11" t="s">
        <v>3</v>
      </c>
      <c r="E14" s="1"/>
      <c r="F14" s="1"/>
    </row>
    <row r="15" spans="1:6" x14ac:dyDescent="0.25">
      <c r="A15" s="1"/>
      <c r="B15" s="54" t="s">
        <v>109</v>
      </c>
      <c r="C15" s="10">
        <f>C14*(1+'Fane 10. Nøgletal'!C14)^2</f>
        <v>3971483.6120168907</v>
      </c>
      <c r="D15" s="11" t="s">
        <v>3</v>
      </c>
      <c r="E15" s="1"/>
      <c r="F15" s="1"/>
    </row>
    <row r="16" spans="1:6" x14ac:dyDescent="0.25">
      <c r="A16" s="1"/>
      <c r="B16" s="14"/>
      <c r="C16" s="13"/>
      <c r="D16" s="13"/>
      <c r="E16" s="1"/>
      <c r="F16" s="1"/>
    </row>
    <row r="17" spans="1:6" x14ac:dyDescent="0.25">
      <c r="A17" s="1"/>
      <c r="B17" s="14"/>
      <c r="C17" s="13"/>
      <c r="D17" s="13"/>
      <c r="E17" s="1"/>
      <c r="F17" s="1"/>
    </row>
    <row r="18" spans="1:6" x14ac:dyDescent="0.25">
      <c r="A18" s="1"/>
      <c r="B18" s="1"/>
      <c r="C18" s="1"/>
      <c r="D18" s="1"/>
      <c r="E18" s="1"/>
      <c r="F18" s="1"/>
    </row>
    <row r="19" spans="1:6" x14ac:dyDescent="0.25">
      <c r="A19" s="1"/>
      <c r="B19" s="1"/>
      <c r="C19" s="1"/>
      <c r="D19" s="1"/>
      <c r="E19" s="1"/>
      <c r="F19" s="1"/>
    </row>
    <row r="20" spans="1:6" x14ac:dyDescent="0.25">
      <c r="A20" s="1"/>
      <c r="B20" s="1"/>
      <c r="C20" s="1"/>
      <c r="D20" s="1"/>
      <c r="E20" s="1"/>
      <c r="F20" s="1"/>
    </row>
    <row r="21" spans="1:6" x14ac:dyDescent="0.25">
      <c r="A21" s="1"/>
      <c r="B21" s="1"/>
      <c r="C21" s="1"/>
      <c r="D21" s="1"/>
      <c r="E21" s="1"/>
      <c r="F21" s="1"/>
    </row>
    <row r="22" spans="1:6" x14ac:dyDescent="0.25">
      <c r="A22" s="1"/>
      <c r="B22" s="1"/>
      <c r="C22" s="1"/>
      <c r="D22" s="1"/>
      <c r="E22" s="1"/>
      <c r="F22" s="1"/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1"/>
      <c r="C27" s="1"/>
      <c r="D27" s="1"/>
      <c r="E27" s="1"/>
      <c r="F27" s="1"/>
    </row>
    <row r="28" spans="1:6" x14ac:dyDescent="0.25">
      <c r="A28" s="1"/>
      <c r="B28" s="1"/>
      <c r="C28" s="1"/>
      <c r="D28" s="1"/>
      <c r="E28" s="1"/>
      <c r="F28" s="1"/>
    </row>
    <row r="29" spans="1:6" x14ac:dyDescent="0.25">
      <c r="A29" s="1"/>
      <c r="B29" s="1"/>
      <c r="C29" s="1"/>
      <c r="D29" s="1"/>
      <c r="E29" s="1"/>
      <c r="F29" s="1"/>
    </row>
    <row r="30" spans="1:6" x14ac:dyDescent="0.25">
      <c r="A30" s="1"/>
      <c r="B30" s="1"/>
      <c r="C30" s="1"/>
      <c r="D30" s="1"/>
      <c r="E30" s="1"/>
      <c r="F30" s="1"/>
    </row>
    <row r="31" spans="1:6" x14ac:dyDescent="0.25">
      <c r="A31" s="1"/>
      <c r="B31" s="1"/>
      <c r="C31" s="1"/>
      <c r="D31" s="1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  <row r="51" spans="1:6" x14ac:dyDescent="0.25">
      <c r="A51" s="1"/>
      <c r="B51" s="1"/>
      <c r="C51" s="1"/>
      <c r="D51" s="1"/>
      <c r="E51" s="1"/>
      <c r="F51" s="1"/>
    </row>
  </sheetData>
  <sheetProtection algorithmName="SHA-512" hashValue="hbztKGR1CDlFoaovUfgRmlgIhE7o2My6zN2JK43GXM4WDB0iLsfbjB3w+1sZAo1Xq5sxejiKkDQ9W5rFPz7erg==" saltValue="lhRgKUrDf9SGbKFwgET8yw==" spinCount="100000" sheet="1" objects="1" scenarios="1"/>
  <customSheetViews>
    <customSheetView guid="{61068CEC-D951-4EA8-B2F0-E3FAF0E2CE33}" showPageBreaks="1" showGridLines="0" view="pageLayout">
      <selection activeCell="C14" sqref="C14"/>
      <pageMargins left="0.75" right="0.7" top="0.75" bottom="0.75" header="0.3" footer="0.3"/>
      <pageSetup paperSize="9" orientation="portrait" r:id="rId1"/>
    </customSheetView>
  </customSheetViews>
  <mergeCells count="2">
    <mergeCell ref="B3:D4"/>
    <mergeCell ref="B8:D8"/>
  </mergeCells>
  <pageMargins left="0.75" right="0.7" top="0.75" bottom="0.75" header="0.3" footer="0.3"/>
  <pageSetup paperSize="9" orientation="portrait"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G45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2851562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87" t="s">
        <v>154</v>
      </c>
      <c r="C3" s="87"/>
      <c r="D3" s="87"/>
      <c r="E3" s="87"/>
      <c r="F3" s="87"/>
      <c r="G3" s="1"/>
    </row>
    <row r="4" spans="1:7" ht="15" customHeight="1" x14ac:dyDescent="0.25">
      <c r="A4" s="1"/>
      <c r="B4" s="87"/>
      <c r="C4" s="87"/>
      <c r="D4" s="87"/>
      <c r="E4" s="87"/>
      <c r="F4" s="87"/>
      <c r="G4" s="1"/>
    </row>
    <row r="5" spans="1:7" ht="15" customHeight="1" x14ac:dyDescent="0.25">
      <c r="A5" s="1"/>
      <c r="B5" s="43"/>
      <c r="C5" s="43"/>
      <c r="D5" s="43"/>
      <c r="E5" s="43"/>
      <c r="F5" s="43"/>
      <c r="G5" s="1"/>
    </row>
    <row r="6" spans="1:7" ht="15" customHeight="1" x14ac:dyDescent="0.25">
      <c r="A6" s="1"/>
      <c r="B6" s="43"/>
      <c r="C6" s="43"/>
      <c r="D6" s="43"/>
      <c r="E6" s="43"/>
      <c r="F6" s="43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9" t="s">
        <v>135</v>
      </c>
      <c r="C8" s="90"/>
      <c r="D8" s="90"/>
      <c r="E8" s="90"/>
      <c r="F8" s="91"/>
      <c r="G8" s="1"/>
    </row>
    <row r="9" spans="1:7" x14ac:dyDescent="0.25">
      <c r="A9" s="1"/>
      <c r="B9" s="99" t="s">
        <v>136</v>
      </c>
      <c r="C9" s="100"/>
      <c r="D9" s="101"/>
      <c r="E9" s="8">
        <v>-1782594.5463333316</v>
      </c>
      <c r="F9" s="12" t="s">
        <v>3</v>
      </c>
      <c r="G9" s="1"/>
    </row>
    <row r="10" spans="1:7" x14ac:dyDescent="0.25">
      <c r="A10" s="1"/>
      <c r="B10" s="99" t="s">
        <v>137</v>
      </c>
      <c r="C10" s="100"/>
      <c r="D10" s="101"/>
      <c r="E10" s="8">
        <v>-1105648.2358562388</v>
      </c>
      <c r="F10" s="12" t="s">
        <v>3</v>
      </c>
      <c r="G10" s="1"/>
    </row>
    <row r="11" spans="1:7" x14ac:dyDescent="0.25">
      <c r="A11" s="1"/>
      <c r="B11" s="99" t="s">
        <v>138</v>
      </c>
      <c r="C11" s="100"/>
      <c r="D11" s="101"/>
      <c r="E11" s="8">
        <v>-1905492.0851085037</v>
      </c>
      <c r="F11" s="12" t="s">
        <v>3</v>
      </c>
      <c r="G11" s="1"/>
    </row>
    <row r="12" spans="1:7" x14ac:dyDescent="0.25">
      <c r="A12" s="1"/>
      <c r="B12" s="54"/>
      <c r="C12" s="22"/>
      <c r="D12" s="22"/>
      <c r="E12" s="22"/>
      <c r="F12" s="55"/>
      <c r="G12" s="1"/>
    </row>
    <row r="13" spans="1:7" ht="51.75" customHeight="1" x14ac:dyDescent="0.25">
      <c r="A13" s="1"/>
      <c r="B13" s="102" t="s">
        <v>139</v>
      </c>
      <c r="C13" s="103"/>
      <c r="D13" s="103"/>
      <c r="E13" s="103"/>
      <c r="F13" s="104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89" t="s">
        <v>140</v>
      </c>
      <c r="C15" s="90"/>
      <c r="D15" s="90"/>
      <c r="E15" s="90"/>
      <c r="F15" s="91"/>
      <c r="G15" s="1"/>
    </row>
    <row r="16" spans="1:7" x14ac:dyDescent="0.25">
      <c r="A16" s="1"/>
      <c r="B16" s="99" t="s">
        <v>141</v>
      </c>
      <c r="C16" s="100"/>
      <c r="D16" s="101"/>
      <c r="E16" s="8">
        <v>-2396867.3910947852</v>
      </c>
      <c r="F16" s="12" t="s">
        <v>3</v>
      </c>
      <c r="G16" s="1"/>
    </row>
    <row r="17" spans="1:7" x14ac:dyDescent="0.25">
      <c r="A17" s="1"/>
      <c r="B17" s="99" t="s">
        <v>142</v>
      </c>
      <c r="C17" s="100"/>
      <c r="D17" s="101"/>
      <c r="E17" s="8">
        <v>-2396867.3910947852</v>
      </c>
      <c r="F17" s="12" t="s">
        <v>3</v>
      </c>
      <c r="G17" s="1"/>
    </row>
    <row r="18" spans="1:7" x14ac:dyDescent="0.25">
      <c r="A18" s="1"/>
      <c r="B18" s="54"/>
      <c r="C18" s="22"/>
      <c r="D18" s="22"/>
      <c r="E18" s="22"/>
      <c r="F18" s="55"/>
      <c r="G18" s="1"/>
    </row>
    <row r="19" spans="1:7" ht="29.25" customHeight="1" x14ac:dyDescent="0.25">
      <c r="A19" s="1"/>
      <c r="B19" s="102" t="s">
        <v>143</v>
      </c>
      <c r="C19" s="103"/>
      <c r="D19" s="103"/>
      <c r="E19" s="103"/>
      <c r="F19" s="104"/>
      <c r="G19" s="1"/>
    </row>
    <row r="20" spans="1:7" ht="28.5" customHeight="1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45" t="s">
        <v>122</v>
      </c>
      <c r="C21" s="46"/>
      <c r="D21" s="46"/>
      <c r="E21" s="46"/>
      <c r="F21" s="47"/>
      <c r="G21" s="1"/>
    </row>
    <row r="22" spans="1:7" x14ac:dyDescent="0.25">
      <c r="A22" s="1"/>
      <c r="B22" s="49" t="s">
        <v>123</v>
      </c>
      <c r="C22" s="50"/>
      <c r="D22" s="51"/>
      <c r="E22" s="8">
        <v>11494381.762215812</v>
      </c>
      <c r="F22" s="12" t="s">
        <v>3</v>
      </c>
      <c r="G22" s="1"/>
    </row>
    <row r="23" spans="1:7" x14ac:dyDescent="0.25">
      <c r="A23" s="1"/>
      <c r="B23" s="49" t="s">
        <v>124</v>
      </c>
      <c r="C23" s="50"/>
      <c r="D23" s="51"/>
      <c r="E23" s="8">
        <v>11080732</v>
      </c>
      <c r="F23" s="12" t="s">
        <v>3</v>
      </c>
      <c r="G23" s="1"/>
    </row>
    <row r="24" spans="1:7" x14ac:dyDescent="0.25">
      <c r="A24" s="1"/>
      <c r="B24" s="49" t="s">
        <v>30</v>
      </c>
      <c r="C24" s="50"/>
      <c r="D24" s="51"/>
      <c r="E24" s="8">
        <v>0</v>
      </c>
      <c r="F24" s="12" t="s">
        <v>3</v>
      </c>
      <c r="G24" s="1"/>
    </row>
    <row r="25" spans="1:7" x14ac:dyDescent="0.25">
      <c r="A25" s="1"/>
      <c r="B25" s="40" t="s">
        <v>125</v>
      </c>
      <c r="C25" s="41"/>
      <c r="D25" s="42"/>
      <c r="E25" s="34">
        <f>E22-(E23-E24)</f>
        <v>413649.76221581176</v>
      </c>
      <c r="F25" s="15" t="s">
        <v>3</v>
      </c>
      <c r="G25" s="1"/>
    </row>
    <row r="26" spans="1:7" x14ac:dyDescent="0.25">
      <c r="A26" s="1"/>
      <c r="B26" s="54"/>
      <c r="C26" s="22"/>
      <c r="D26" s="22"/>
      <c r="E26" s="22"/>
      <c r="F26" s="55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89" t="s">
        <v>144</v>
      </c>
      <c r="C28" s="90"/>
      <c r="D28" s="90"/>
      <c r="E28" s="90"/>
      <c r="F28" s="91"/>
      <c r="G28" s="1"/>
    </row>
    <row r="29" spans="1:7" x14ac:dyDescent="0.25">
      <c r="A29" s="1"/>
      <c r="B29" s="84" t="s">
        <v>145</v>
      </c>
      <c r="C29" s="85"/>
      <c r="D29" s="86"/>
      <c r="E29" s="9">
        <f>IF(AND(SUM(E9:E11)&gt;0,E25&gt;0),0,IF(AND(SUM(E9:E11)&gt;0,E25&lt;0,ABS(SUM(E9:E11))&gt;ABS(E25)),0,IF(AND(SUM(E9:E11)&lt;0,E25&gt;0,ABS(SUM(E9:E11))&lt;ABS(E25)),-SUM(E9:E11)/2,IF(AND(SUM(E9:E11)&lt;0,E25&gt;0,ABS(SUM(E9:E11))&gt;ABS(E25)),SUM(E9:E11)/2+E25,0))))</f>
        <v>-1983217.6714332253</v>
      </c>
      <c r="F29" s="15" t="s">
        <v>3</v>
      </c>
      <c r="G29" s="1"/>
    </row>
    <row r="30" spans="1:7" x14ac:dyDescent="0.25">
      <c r="A30" s="1"/>
      <c r="B30" s="89"/>
      <c r="C30" s="90"/>
      <c r="D30" s="90"/>
      <c r="E30" s="90"/>
      <c r="F30" s="9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89" t="s">
        <v>146</v>
      </c>
      <c r="C32" s="90"/>
      <c r="D32" s="90"/>
      <c r="E32" s="90"/>
      <c r="F32" s="91"/>
      <c r="G32" s="1"/>
    </row>
    <row r="33" spans="1:7" x14ac:dyDescent="0.25">
      <c r="A33" s="1"/>
      <c r="B33" s="96" t="s">
        <v>85</v>
      </c>
      <c r="C33" s="97"/>
      <c r="D33" s="98"/>
      <c r="E33" s="8">
        <f>IF(AND(SUM(E9:E11)&gt;0,E25&lt;0,ABS(SUM(E9:E11))&lt;ABS(E25)),(SUM(E9:E11)-ABS(E25)),IF(AND(SUM(E9:E11)&lt;0,E25&lt;0),E25,0))</f>
        <v>0</v>
      </c>
      <c r="F33" s="12" t="s">
        <v>3</v>
      </c>
      <c r="G33" s="1"/>
    </row>
    <row r="34" spans="1:7" x14ac:dyDescent="0.25">
      <c r="A34" s="1"/>
      <c r="B34" s="96" t="s">
        <v>55</v>
      </c>
      <c r="C34" s="97"/>
      <c r="D34" s="98"/>
      <c r="E34" s="8">
        <v>4</v>
      </c>
      <c r="F34" s="12" t="s">
        <v>19</v>
      </c>
      <c r="G34" s="1"/>
    </row>
    <row r="35" spans="1:7" x14ac:dyDescent="0.25">
      <c r="A35" s="1"/>
      <c r="B35" s="95" t="s">
        <v>147</v>
      </c>
      <c r="C35" s="95"/>
      <c r="D35" s="95"/>
      <c r="E35" s="9">
        <f>E33/E34</f>
        <v>0</v>
      </c>
      <c r="F35" s="15" t="s">
        <v>3</v>
      </c>
      <c r="G35" s="1"/>
    </row>
    <row r="36" spans="1:7" x14ac:dyDescent="0.25">
      <c r="A36" s="1"/>
      <c r="B36" s="92"/>
      <c r="C36" s="93"/>
      <c r="D36" s="93"/>
      <c r="E36" s="93"/>
      <c r="F36" s="94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</sheetData>
  <sheetProtection algorithmName="SHA-512" hashValue="l1CeB7Zq8aF0EEgJTJ8bdTYhaTslMVTS+q6HrkUX56EG5jApxEhSVAAGVYDJ3KS0DS+T1TwRluzvQ8esaH/nNw==" saltValue="6Q1Wb9if4cvWNrVFPK8D5g==" spinCount="100000" sheet="1" objects="1" scenarios="1"/>
  <customSheetViews>
    <customSheetView guid="{61068CEC-D951-4EA8-B2F0-E3FAF0E2CE33}" showPageBreaks="1" showGridLines="0" view="pageLayout" topLeftCell="A28">
      <selection activeCell="E39" sqref="E39"/>
      <pageMargins left="0.79166666666666663" right="0.7" top="0.75" bottom="0.75" header="0.3" footer="0.3"/>
      <pageSetup paperSize="9" orientation="portrait" r:id="rId1"/>
    </customSheetView>
  </customSheetViews>
  <mergeCells count="18">
    <mergeCell ref="B3:F4"/>
    <mergeCell ref="B30:F30"/>
    <mergeCell ref="B28:F28"/>
    <mergeCell ref="B16:D16"/>
    <mergeCell ref="B17:D17"/>
    <mergeCell ref="B19:F19"/>
    <mergeCell ref="B29:D29"/>
    <mergeCell ref="B8:F8"/>
    <mergeCell ref="B10:D10"/>
    <mergeCell ref="B11:D11"/>
    <mergeCell ref="B13:F13"/>
    <mergeCell ref="B15:F15"/>
    <mergeCell ref="B9:D9"/>
    <mergeCell ref="B36:F36"/>
    <mergeCell ref="B35:D35"/>
    <mergeCell ref="B34:D34"/>
    <mergeCell ref="B33:D33"/>
    <mergeCell ref="B32:F32"/>
  </mergeCells>
  <pageMargins left="0.79166666666666663" right="0.7" top="0.75" bottom="0.75" header="0.3" footer="0.3"/>
  <pageSetup paperSize="9" orientation="portrait"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4" t="s">
        <v>88</v>
      </c>
      <c r="C3" s="74"/>
      <c r="D3" s="74"/>
      <c r="E3" s="74"/>
      <c r="F3" s="74"/>
      <c r="G3" s="74"/>
      <c r="H3" s="74"/>
      <c r="I3" s="1"/>
    </row>
    <row r="4" spans="1:9" ht="15" customHeight="1" x14ac:dyDescent="0.25">
      <c r="A4" s="1"/>
      <c r="B4" s="74"/>
      <c r="C4" s="74"/>
      <c r="D4" s="74"/>
      <c r="E4" s="74"/>
      <c r="F4" s="74"/>
      <c r="G4" s="74"/>
      <c r="H4" s="74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9" t="s">
        <v>79</v>
      </c>
      <c r="C8" s="90"/>
      <c r="D8" s="90"/>
      <c r="E8" s="90"/>
      <c r="F8" s="90"/>
      <c r="G8" s="90"/>
      <c r="H8" s="91"/>
      <c r="I8" s="1"/>
    </row>
    <row r="9" spans="1:9" ht="39.75" customHeight="1" x14ac:dyDescent="0.25">
      <c r="A9" s="1"/>
      <c r="B9" s="16" t="s">
        <v>0</v>
      </c>
      <c r="C9" s="16" t="s">
        <v>1</v>
      </c>
      <c r="D9" s="16" t="s">
        <v>10</v>
      </c>
      <c r="E9" s="39" t="s">
        <v>2</v>
      </c>
      <c r="F9" s="39" t="s">
        <v>11</v>
      </c>
      <c r="G9" s="39" t="s">
        <v>27</v>
      </c>
      <c r="H9" s="53"/>
      <c r="I9" s="1"/>
    </row>
    <row r="10" spans="1:9" x14ac:dyDescent="0.25">
      <c r="A10" s="1"/>
      <c r="B10" s="56" t="s">
        <v>151</v>
      </c>
      <c r="C10" s="57">
        <v>0</v>
      </c>
      <c r="D10" s="8">
        <v>0</v>
      </c>
      <c r="E10" s="8">
        <f>IFERROR(D10/C10,0)</f>
        <v>0</v>
      </c>
      <c r="F10" s="8">
        <v>0</v>
      </c>
      <c r="G10" s="8">
        <v>0</v>
      </c>
      <c r="H10" s="12" t="s">
        <v>3</v>
      </c>
      <c r="I10" s="1"/>
    </row>
    <row r="11" spans="1:9" x14ac:dyDescent="0.25">
      <c r="A11" s="1"/>
      <c r="B11" s="89" t="s">
        <v>80</v>
      </c>
      <c r="C11" s="90"/>
      <c r="D11" s="91"/>
      <c r="E11" s="10">
        <f>SUM(E10:E10)</f>
        <v>0</v>
      </c>
      <c r="F11" s="10">
        <f>SUM(F10:F10)</f>
        <v>0</v>
      </c>
      <c r="G11" s="10">
        <f>SUM(G10:G10)</f>
        <v>0</v>
      </c>
      <c r="H11" s="11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peucuS8xSjr+LZ20iv1nJ2XEmVqG/HOgyzXhLyV4GQ5VuauccBp8kOFqoSlLfiwvAhJ/xG/65v2iuMTk3YexGw==" saltValue="dPL3SUCDHKsEWZ8hNO6Oag==" spinCount="100000" sheet="1" objects="1" scenarios="1"/>
  <customSheetViews>
    <customSheetView guid="{61068CEC-D951-4EA8-B2F0-E3FAF0E2CE33}" showPageBreaks="1" showGridLines="0" view="pageLayout">
      <selection activeCell="E12" sqref="E12"/>
      <pageMargins left="0.7" right="0.7" top="0.75" bottom="0.75" header="0.3" footer="0.3"/>
      <pageSetup paperSize="9" orientation="portrait" r:id="rId1"/>
    </customSheetView>
  </customSheetViews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14</vt:i4>
      </vt:variant>
    </vt:vector>
  </HeadingPairs>
  <TitlesOfParts>
    <vt:vector size="14" baseType="lpstr">
      <vt:lpstr>1. Forside</vt:lpstr>
      <vt:lpstr>Fane 2.1. Økonomisk ramme 2022</vt:lpstr>
      <vt:lpstr>Fane 2.2. Økonomisk ramme 2023</vt:lpstr>
      <vt:lpstr>Fane 2.3. Økonomisk ramme 2024</vt:lpstr>
      <vt:lpstr>Fane 2.4. Økonomisk ramme 2025</vt:lpstr>
      <vt:lpstr>Fane 3. Omkostninger i ØR2021</vt:lpstr>
      <vt:lpstr>Fane 4. Ikke-påvirkelige omk.</vt:lpstr>
      <vt:lpstr>Fane 5. Kontrol af ØR2020</vt:lpstr>
      <vt:lpstr>Fane 6. Anlægsprojekter</vt:lpstr>
      <vt:lpstr>Fane 7.1. Varige tillæg</vt:lpstr>
      <vt:lpstr>Fane 7.2. Engangstillæg</vt:lpstr>
      <vt:lpstr>Fane 8. Tilknyttet virksomhed</vt:lpstr>
      <vt:lpstr>Fane 9. Bortfald</vt:lpstr>
      <vt:lpstr>Fane 10.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Christina Cramer Calonius Hoffgaard</cp:lastModifiedBy>
  <cp:lastPrinted>2016-06-14T12:57:30Z</cp:lastPrinted>
  <dcterms:created xsi:type="dcterms:W3CDTF">2016-06-02T08:51:18Z</dcterms:created>
  <dcterms:modified xsi:type="dcterms:W3CDTF">2021-10-13T10:28:00Z</dcterms:modified>
</cp:coreProperties>
</file>