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Spildevand\Novafos Spildevand Egedal AS (S013)\ØR2025\"/>
    </mc:Choice>
  </mc:AlternateContent>
  <xr:revisionPtr revIDLastSave="0" documentId="13_ncr:1_{2CAD8FBD-AA2E-416D-8C31-D4348145C00B}"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9" i="20" l="1"/>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<sst xmlns="http://schemas.openxmlformats.org/spreadsheetml/2006/main" count="549" uniqueCount="234">
  <si>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</si>
  <si>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</si>
  <si>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</si>
  <si>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</si>
  <si>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</si>
  <si>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</si>
  <si>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</si>
  <si>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</si>
  <si>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</si>
  <si>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</si>
  <si>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</si>
  <si>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</si>
  <si>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</si>
  <si>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</si>
  <si>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</si>
  <si>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</si>
  <si>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</si>
  <si>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</si>
  <si>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</si>
  <si>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</si>
  <si>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</si>
  <si>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</si>
  <si>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</si>
  <si>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</si>
  <si>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</si>
  <si>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</si>
  <si>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</si>
  <si>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</si>
  <si>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</si>
  <si>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</si>
  <si>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</si>
  <si>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</si>
  <si>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</si>
  <si>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</si>
  <si>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</si>
  <si>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</si>
  <si>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</si>
  <si>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</si>
  <si>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</si>
  <si>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</si>
  <si>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</si>
  <si>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</si>
  <si>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</si>
  <si>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</si>
  <si>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</si>
  <si>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</si>
  <si>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</si>
  <si>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</si>
  <si>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</si>
  <si>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</si>
  <si>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</si>
  <si>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</si>
  <si>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</si>
  <si>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</si>
  <si>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</si>
  <si>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</si>
  <si>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</si>
  <si>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</si>
  <si>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</si>
  <si>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</si>
  <si>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</si>
  <si>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</si>
  <si>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</si>
  <si>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</si>
  <si>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</si>
  <si>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</si>
  <si>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</si>
  <si>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</si>
  <si>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</si>
  <si>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</si>
  <si>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</si>
  <si>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</si>
  <si>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</si>
  <si>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</si>
  <si>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</si>
  <si>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</si>
  <si>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</si>
  <si>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</si>
  <si>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</si>
  <si>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</si>
  <si>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</si>
  <si>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</si>
  <si>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</si>
  <si>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</si>
  <si>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</si>
  <si>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</si>
  <si>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</si>
  <si>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</si>
  <si>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</si>
  <si>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</si>
  <si>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</si>
  <si>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</si>
  <si>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</si>
  <si>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</si>
  <si>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</si>
  <si>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</si>
  <si>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</si>
  <si>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</si>
  <si>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</si>
  <si>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</si>
  <si>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</si>
  <si>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</si>
  <si>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</si>
  <si>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</si>
  <si>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</si>
  <si>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</si>
  <si>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</si>
  <si>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</si>
  <si>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</si>
  <si>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</si>
  <si>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</si>
  <si>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</si>
  <si>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</si>
  <si>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</si>
  <si>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</si>
  <si>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</si>
  <si>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</si>
  <si>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</si>
  <si>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</si>
  <si>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</si>
  <si>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</si>
  <si>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</si>
  <si>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</si>
  <si>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</si>
  <si>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</si>
  <si>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</si>
  <si>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</si>
  <si>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</si>
  <si>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</si>
  <si>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</si>
  <si>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</si>
  <si>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</si>
  <si>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</si>
  <si>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</si>
  <si>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</si>
  <si>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</si>
  <si>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</si>
  <si>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</si>
  <si>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</si>
  <si>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</si>
  <si>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</si>
  <si>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</si>
  <si>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</si>
  <si>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</si>
  <si>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</si>
  <si>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</si>
  <si>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</si>
  <si>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</si>
  <si>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</si>
  <si>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</si>
  <si>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</si>
  <si>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</si>
  <si>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</si>
  <si>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</si>
  <si>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</si>
  <si>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</si>
  <si>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</si>
  <si>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</si>
  <si>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</si>
  <si>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</si>
  <si>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</si>
  <si>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</si>
  <si>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</si>
  <si>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</si>
  <si>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</si>
  <si>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</si>
  <si>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</si>
  <si>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</si>
  <si>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</si>
  <si>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</si>
  <si>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</si>
  <si>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</si>
  <si>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</si>
  <si>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</si>
  <si>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</si>
  <si>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</si>
  <si>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</si>
  <si>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</si>
  <si>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</si>
  <si>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</si>
  <si>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</si>
  <si>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</si>
  <si>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</si>
  <si>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</si>
  <si>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</si>
  <si>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</si>
  <si>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</si>
  <si>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</si>
  <si>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</si>
  <si>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</si>
  <si>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</si>
  <si>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</si>
  <si>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</si>
  <si>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</si>
  <si>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</si>
  <si>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</si>
  <si>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</si>
  <si>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</si>
  <si>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</si>
  <si>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</si>
  <si>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</si>
  <si>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</si>
  <si>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</si>
  <si>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</si>
  <si>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</si>
  <si>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</si>
  <si>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</si>
  <si>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</si>
  <si>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</si>
  <si>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</si>
  <si>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</si>
  <si>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</si>
  <si>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</si>
  <si>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</si>
  <si>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</si>
  <si>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</si>
  <si>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</si>
  <si>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</si>
  <si>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</si>
  <si>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</si>
  <si>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</si>
  <si>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</si>
  <si>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</si>
  <si>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</si>
  <si>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</si>
  <si>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</si>
  <si>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</si>
  <si>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</si>
  <si>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Køb af ydelser og produkter fra andre vandselskaber reguleret af vandsektorloven</t>
  </si>
  <si>
    <t>Ejendomsskatter</t>
  </si>
  <si>
    <t>Gebyr til Miljøstyrelsen</t>
  </si>
  <si>
    <t>Til statusmeddelelse for 2025</t>
  </si>
  <si>
    <t>Byggemodning Mosevej og Mosekær, Egedal By Stationsområde samt enkeltstiketableringer</t>
  </si>
  <si>
    <t>Periodevis driftsomkostning, oprensning af regnvandsbassin Kornvænget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</si>
</sst>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7" t="s">
        <v>4</v>
      </c>
      <c r="D6" s="87"/>
      <c r="E6" s="87"/>
      <c r="F6" s="87"/>
      <c r="G6" s="3"/>
    </row>
    <row r="7" spans="1:7" ht="15" customHeight="1" x14ac:dyDescent="0.25">
      <c r="A7" s="1"/>
      <c r="B7" s="3"/>
      <c r="C7" s="87"/>
      <c r="D7" s="87"/>
      <c r="E7" s="87"/>
      <c r="F7" s="87"/>
      <c r="G7" s="3"/>
    </row>
    <row r="8" spans="1:7" ht="15.75" x14ac:dyDescent="0.25">
      <c r="A8" s="1"/>
      <c r="B8" s="4"/>
      <c r="C8" s="95" t="s">
        <v>231</v>
      </c>
      <c r="D8" s="95"/>
      <c r="E8" s="95"/>
      <c r="F8" s="95"/>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4" t="s">
        <v>5</v>
      </c>
      <c r="D11" s="94"/>
      <c r="E11" s="94"/>
      <c r="F11" s="94"/>
      <c r="G11" s="5"/>
    </row>
    <row r="12" spans="1:7" x14ac:dyDescent="0.25">
      <c r="A12" s="1"/>
      <c r="B12" s="1"/>
      <c r="C12" s="1"/>
      <c r="D12" s="1"/>
      <c r="E12" s="1"/>
      <c r="F12" s="1"/>
      <c r="G12" s="5"/>
    </row>
    <row r="13" spans="1:7" x14ac:dyDescent="0.25">
      <c r="A13" s="1"/>
      <c r="B13" s="6" t="s">
        <v>6</v>
      </c>
      <c r="C13" s="99" t="s">
        <v>127</v>
      </c>
      <c r="D13" s="100"/>
      <c r="E13" s="100"/>
      <c r="F13" s="101"/>
      <c r="G13" s="5"/>
    </row>
    <row r="14" spans="1:7" x14ac:dyDescent="0.25">
      <c r="A14" s="1"/>
      <c r="B14" s="6" t="s">
        <v>16</v>
      </c>
      <c r="C14" s="84" t="s">
        <v>186</v>
      </c>
      <c r="D14" s="85"/>
      <c r="E14" s="85"/>
      <c r="F14" s="86"/>
      <c r="G14" s="5"/>
    </row>
    <row r="15" spans="1:7" x14ac:dyDescent="0.25">
      <c r="A15" s="1"/>
      <c r="B15" s="6" t="s">
        <v>30</v>
      </c>
      <c r="C15" s="84" t="s">
        <v>149</v>
      </c>
      <c r="D15" s="85"/>
      <c r="E15" s="85"/>
      <c r="F15" s="86"/>
      <c r="G15" s="5"/>
    </row>
    <row r="16" spans="1:7" x14ac:dyDescent="0.25">
      <c r="A16" s="1"/>
      <c r="B16" s="6" t="s">
        <v>31</v>
      </c>
      <c r="C16" s="84" t="s">
        <v>151</v>
      </c>
      <c r="D16" s="85"/>
      <c r="E16" s="85"/>
      <c r="F16" s="86"/>
      <c r="G16" s="5"/>
    </row>
    <row r="17" spans="1:8" x14ac:dyDescent="0.25">
      <c r="A17" s="1"/>
      <c r="B17" s="6" t="s">
        <v>61</v>
      </c>
      <c r="C17" s="84" t="s">
        <v>152</v>
      </c>
      <c r="D17" s="85"/>
      <c r="E17" s="85"/>
      <c r="F17" s="86"/>
      <c r="G17" s="5"/>
    </row>
    <row r="18" spans="1:8" x14ac:dyDescent="0.25">
      <c r="A18" s="1"/>
      <c r="B18" s="6" t="s">
        <v>53</v>
      </c>
      <c r="C18" s="96" t="s">
        <v>45</v>
      </c>
      <c r="D18" s="97"/>
      <c r="E18" s="97"/>
      <c r="F18" s="98"/>
      <c r="G18" s="5"/>
    </row>
    <row r="19" spans="1:8" x14ac:dyDescent="0.25">
      <c r="A19" s="1"/>
      <c r="B19" s="6" t="s">
        <v>54</v>
      </c>
      <c r="C19" s="96" t="s">
        <v>46</v>
      </c>
      <c r="D19" s="97"/>
      <c r="E19" s="97"/>
      <c r="F19" s="98"/>
      <c r="G19" s="5"/>
    </row>
    <row r="20" spans="1:8" x14ac:dyDescent="0.25">
      <c r="A20" s="1"/>
      <c r="B20" s="6" t="s">
        <v>7</v>
      </c>
      <c r="C20" s="96" t="s">
        <v>10</v>
      </c>
      <c r="D20" s="97"/>
      <c r="E20" s="97"/>
      <c r="F20" s="98"/>
      <c r="G20" s="5"/>
    </row>
    <row r="21" spans="1:8" x14ac:dyDescent="0.25">
      <c r="A21" s="1"/>
      <c r="B21" s="6" t="s">
        <v>55</v>
      </c>
      <c r="C21" s="88" t="s">
        <v>12</v>
      </c>
      <c r="D21" s="89"/>
      <c r="E21" s="89"/>
      <c r="F21" s="90"/>
      <c r="G21" s="5"/>
    </row>
    <row r="22" spans="1:8" x14ac:dyDescent="0.25">
      <c r="A22" s="1"/>
      <c r="B22" s="6" t="s">
        <v>39</v>
      </c>
      <c r="C22" s="91" t="s">
        <v>153</v>
      </c>
      <c r="D22" s="92"/>
      <c r="E22" s="92"/>
      <c r="F22" s="93"/>
      <c r="G22" s="5"/>
    </row>
    <row r="23" spans="1:8" x14ac:dyDescent="0.25">
      <c r="A23" s="1"/>
      <c r="B23" s="6" t="s">
        <v>8</v>
      </c>
      <c r="C23" s="91" t="s">
        <v>112</v>
      </c>
      <c r="D23" s="92"/>
      <c r="E23" s="92"/>
      <c r="F23" s="93"/>
      <c r="G23" s="5"/>
    </row>
    <row r="24" spans="1:8" x14ac:dyDescent="0.25">
      <c r="A24" s="1"/>
      <c r="B24" s="6" t="s">
        <v>9</v>
      </c>
      <c r="C24" s="91" t="s">
        <v>154</v>
      </c>
      <c r="D24" s="92"/>
      <c r="E24" s="92"/>
      <c r="F24" s="93"/>
      <c r="G24" s="5"/>
    </row>
    <row r="25" spans="1:8" x14ac:dyDescent="0.25">
      <c r="A25" s="1"/>
      <c r="B25" s="6" t="s">
        <v>97</v>
      </c>
      <c r="C25" s="91" t="s">
        <v>91</v>
      </c>
      <c r="D25" s="92"/>
      <c r="E25" s="92"/>
      <c r="F25" s="93"/>
      <c r="G25" s="1"/>
    </row>
    <row r="26" spans="1:8" x14ac:dyDescent="0.25">
      <c r="A26" s="1"/>
      <c r="B26" s="6" t="s">
        <v>98</v>
      </c>
      <c r="C26" s="91" t="s">
        <v>40</v>
      </c>
      <c r="D26" s="92"/>
      <c r="E26" s="92"/>
      <c r="F26" s="93"/>
      <c r="G26" s="1"/>
    </row>
    <row r="27" spans="1:8" x14ac:dyDescent="0.25">
      <c r="A27" s="1"/>
      <c r="B27" s="6" t="s">
        <v>99</v>
      </c>
      <c r="C27" s="91" t="s">
        <v>41</v>
      </c>
      <c r="D27" s="92"/>
      <c r="E27" s="92"/>
      <c r="F27" s="93"/>
      <c r="G27" s="1"/>
    </row>
    <row r="28" spans="1:8" x14ac:dyDescent="0.25">
      <c r="A28" s="1"/>
      <c r="B28" s="6" t="s">
        <v>15</v>
      </c>
      <c r="C28" s="91" t="s">
        <v>42</v>
      </c>
      <c r="D28" s="92"/>
      <c r="E28" s="92"/>
      <c r="F28" s="93"/>
      <c r="G28" s="1"/>
      <c r="H28" s="2" t="s">
        <v>150</v>
      </c>
    </row>
    <row r="29" spans="1:8" x14ac:dyDescent="0.25">
      <c r="A29" s="1"/>
      <c r="B29" s="6" t="s">
        <v>33</v>
      </c>
      <c r="C29" s="91" t="s">
        <v>68</v>
      </c>
      <c r="D29" s="92"/>
      <c r="E29" s="92"/>
      <c r="F29" s="93"/>
      <c r="G29" s="1"/>
    </row>
    <row r="30" spans="1:8" x14ac:dyDescent="0.25">
      <c r="A30" s="1"/>
      <c r="B30" s="6" t="s">
        <v>34</v>
      </c>
      <c r="C30" s="91" t="s">
        <v>32</v>
      </c>
      <c r="D30" s="92"/>
      <c r="E30" s="92"/>
      <c r="F30" s="93"/>
      <c r="G30" s="1"/>
    </row>
    <row r="31" spans="1:8" x14ac:dyDescent="0.25">
      <c r="A31" s="1"/>
      <c r="B31" s="6" t="s">
        <v>100</v>
      </c>
      <c r="C31" s="102" t="s">
        <v>52</v>
      </c>
      <c r="D31" s="103"/>
      <c r="E31" s="103"/>
      <c r="F31" s="104"/>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rs16O4zxYNTWVrt0gLjyq6CYgO4mcXEwBqOaGauqavKy5ZpjpklfF+z2cuF4nTNQe5z5kF4hIR+Tct/VvUd/Sw==" saltValue="CkS7ybD8D+hP/sjygLjiOA=="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58</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9" t="s">
        <v>165</v>
      </c>
      <c r="C8" s="110"/>
      <c r="D8" s="111"/>
      <c r="E8" s="1"/>
    </row>
    <row r="9" spans="1:5" ht="15" customHeight="1" x14ac:dyDescent="0.25">
      <c r="A9" s="1"/>
      <c r="B9" s="27" t="s">
        <v>28</v>
      </c>
      <c r="C9" s="67" t="s">
        <v>166</v>
      </c>
      <c r="D9" s="11"/>
      <c r="E9" s="1"/>
    </row>
    <row r="10" spans="1:5" ht="15" customHeight="1" x14ac:dyDescent="0.25">
      <c r="A10" s="1"/>
      <c r="B10" s="72" t="s">
        <v>226</v>
      </c>
      <c r="C10" s="73">
        <v>589521</v>
      </c>
      <c r="D10" s="14" t="s">
        <v>3</v>
      </c>
      <c r="E10" s="1"/>
    </row>
    <row r="11" spans="1:5" ht="15" customHeight="1" x14ac:dyDescent="0.25">
      <c r="A11" s="1"/>
      <c r="B11" s="72" t="s">
        <v>227</v>
      </c>
      <c r="C11" s="73">
        <v>71977</v>
      </c>
      <c r="D11" s="14" t="s">
        <v>3</v>
      </c>
      <c r="E11" s="1"/>
    </row>
    <row r="12" spans="1:5" ht="25.5" x14ac:dyDescent="0.25">
      <c r="A12" s="1"/>
      <c r="B12" s="72" t="s">
        <v>228</v>
      </c>
      <c r="C12" s="73">
        <v>3794403</v>
      </c>
      <c r="D12" s="14" t="s">
        <v>3</v>
      </c>
      <c r="E12" s="1"/>
    </row>
    <row r="13" spans="1:5" x14ac:dyDescent="0.25">
      <c r="A13" s="1"/>
      <c r="B13" s="72" t="s">
        <v>229</v>
      </c>
      <c r="C13" s="73">
        <v>19968</v>
      </c>
      <c r="D13" s="14" t="s">
        <v>3</v>
      </c>
      <c r="E13" s="1"/>
    </row>
    <row r="14" spans="1:5" x14ac:dyDescent="0.25">
      <c r="A14" s="1"/>
      <c r="B14" s="72" t="s">
        <v>230</v>
      </c>
      <c r="C14" s="73">
        <v>13965</v>
      </c>
      <c r="D14" s="14" t="s">
        <v>3</v>
      </c>
      <c r="E14" s="1"/>
    </row>
    <row r="15" spans="1:5" x14ac:dyDescent="0.25">
      <c r="A15" s="1"/>
      <c r="B15" s="72"/>
      <c r="C15" s="73"/>
      <c r="D15" s="14" t="s">
        <v>3</v>
      </c>
      <c r="E15" s="1"/>
    </row>
    <row r="16" spans="1:5" x14ac:dyDescent="0.25">
      <c r="A16" s="1"/>
      <c r="B16" s="72"/>
      <c r="C16" s="73"/>
      <c r="D16" s="14" t="s">
        <v>3</v>
      </c>
      <c r="E16" s="1"/>
    </row>
    <row r="17" spans="1:5" x14ac:dyDescent="0.25">
      <c r="A17" s="1"/>
      <c r="B17" s="72"/>
      <c r="C17" s="73"/>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167</v>
      </c>
      <c r="C20" s="12">
        <f>SUM(C10:C19)</f>
        <v>4489834</v>
      </c>
      <c r="D20" s="13" t="s">
        <v>3</v>
      </c>
      <c r="E20" s="1"/>
    </row>
    <row r="21" spans="1:5" x14ac:dyDescent="0.25">
      <c r="A21" s="1"/>
      <c r="B21" s="33" t="s">
        <v>168</v>
      </c>
      <c r="C21" s="12">
        <f>C20*(1+'Fane 15. Nøgletal'!C10)^2</f>
        <v>5104921.90681546</v>
      </c>
      <c r="D21" s="13" t="s">
        <v>3</v>
      </c>
      <c r="E21" s="1"/>
    </row>
    <row r="22" spans="1:5" x14ac:dyDescent="0.25">
      <c r="A22" s="1"/>
      <c r="B22" s="16"/>
      <c r="C22" s="15"/>
      <c r="D22" s="15"/>
      <c r="E22" s="1"/>
    </row>
    <row r="23" spans="1:5" x14ac:dyDescent="0.25">
      <c r="A23" s="1"/>
      <c r="B23" s="16"/>
      <c r="C23" s="15"/>
      <c r="D23" s="15"/>
      <c r="E23" s="1"/>
    </row>
    <row r="24" spans="1:5" x14ac:dyDescent="0.25">
      <c r="A24" s="1"/>
      <c r="B24" s="109" t="s">
        <v>60</v>
      </c>
      <c r="C24" s="110"/>
      <c r="D24" s="111"/>
      <c r="E24" s="1"/>
    </row>
    <row r="25" spans="1:5" x14ac:dyDescent="0.25">
      <c r="A25" s="1"/>
      <c r="B25" s="37" t="s">
        <v>72</v>
      </c>
      <c r="C25" s="9">
        <v>0</v>
      </c>
      <c r="D25" s="14" t="s">
        <v>3</v>
      </c>
      <c r="E25" s="1"/>
    </row>
    <row r="26" spans="1:5" x14ac:dyDescent="0.25">
      <c r="A26" s="1"/>
      <c r="B26" s="37" t="s">
        <v>83</v>
      </c>
      <c r="C26" s="9">
        <v>0</v>
      </c>
      <c r="D26" s="14" t="s">
        <v>3</v>
      </c>
      <c r="E26" s="1"/>
    </row>
    <row r="27" spans="1:5" x14ac:dyDescent="0.25">
      <c r="A27" s="1"/>
      <c r="B27" s="37" t="s">
        <v>148</v>
      </c>
      <c r="C27" s="9">
        <v>0</v>
      </c>
      <c r="D27" s="14" t="s">
        <v>3</v>
      </c>
      <c r="E27" s="1"/>
    </row>
    <row r="28" spans="1:5" x14ac:dyDescent="0.25">
      <c r="A28" s="1"/>
      <c r="B28" s="34" t="s">
        <v>169</v>
      </c>
      <c r="C28" s="9">
        <v>0</v>
      </c>
      <c r="D28" s="36" t="s">
        <v>3</v>
      </c>
      <c r="E28" s="1"/>
    </row>
    <row r="29" spans="1:5" x14ac:dyDescent="0.25">
      <c r="A29" s="1"/>
      <c r="B29" s="109"/>
      <c r="C29" s="110"/>
      <c r="D29" s="111"/>
      <c r="E29" s="1"/>
    </row>
    <row r="30" spans="1:5" x14ac:dyDescent="0.25">
      <c r="A30" s="1"/>
      <c r="B30" s="1"/>
      <c r="C30" s="1"/>
      <c r="D30" s="1"/>
      <c r="E30" s="1"/>
    </row>
    <row r="31" spans="1:5" x14ac:dyDescent="0.25">
      <c r="A31" s="1"/>
      <c r="B31" s="1"/>
      <c r="C31" s="1"/>
      <c r="D31" s="1"/>
      <c r="E31" s="1"/>
    </row>
    <row r="32" spans="1:5" x14ac:dyDescent="0.25">
      <c r="A32" s="1"/>
      <c r="B32" s="109" t="s">
        <v>47</v>
      </c>
      <c r="C32" s="110"/>
      <c r="D32" s="111"/>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09"/>
      <c r="C37" s="110"/>
      <c r="D37" s="11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nH3rjYMeETXAGAK+E9yEhMcEbBgAgdELPExLVHdrOvt/7afAfwgYykcQ4FKi3w+fIU8ZNyJhzIMNu0fEbOvsjw==" saltValue="2WqNgYuDqCPo+liMNR1io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201</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9" t="s">
        <v>77</v>
      </c>
      <c r="C8" s="110"/>
      <c r="D8" s="111"/>
      <c r="E8" s="1"/>
    </row>
    <row r="9" spans="1:5" x14ac:dyDescent="0.25">
      <c r="A9" s="1"/>
      <c r="B9" s="65" t="s">
        <v>204</v>
      </c>
      <c r="C9" s="9">
        <v>12245301.085555509</v>
      </c>
      <c r="D9" s="14" t="s">
        <v>3</v>
      </c>
      <c r="E9" s="1"/>
    </row>
    <row r="10" spans="1:5" x14ac:dyDescent="0.25">
      <c r="A10" s="1"/>
      <c r="B10" s="33"/>
      <c r="C10" s="28"/>
      <c r="D10" s="19"/>
      <c r="E10" s="1"/>
    </row>
    <row r="11" spans="1:5" ht="53.25" customHeight="1" x14ac:dyDescent="0.25">
      <c r="A11" s="1"/>
      <c r="B11" s="120" t="s">
        <v>212</v>
      </c>
      <c r="C11" s="121"/>
      <c r="D11" s="122"/>
      <c r="E11" s="1"/>
    </row>
    <row r="12" spans="1:5" x14ac:dyDescent="0.25">
      <c r="A12" s="1"/>
      <c r="B12" s="1"/>
      <c r="C12" s="1"/>
      <c r="D12" s="1"/>
      <c r="E12" s="1"/>
    </row>
    <row r="13" spans="1:5" x14ac:dyDescent="0.25">
      <c r="A13" s="1"/>
      <c r="B13" s="109" t="s">
        <v>78</v>
      </c>
      <c r="C13" s="110"/>
      <c r="D13" s="111"/>
      <c r="E13" s="1"/>
    </row>
    <row r="14" spans="1:5" x14ac:dyDescent="0.25">
      <c r="A14" s="1"/>
      <c r="B14" s="65" t="s">
        <v>202</v>
      </c>
      <c r="C14" s="9">
        <v>0</v>
      </c>
      <c r="D14" s="14" t="s">
        <v>3</v>
      </c>
      <c r="E14" s="1"/>
    </row>
    <row r="15" spans="1:5" x14ac:dyDescent="0.25">
      <c r="A15" s="1"/>
      <c r="B15" s="65" t="s">
        <v>203</v>
      </c>
      <c r="C15" s="9">
        <v>0</v>
      </c>
      <c r="D15" s="14" t="s">
        <v>3</v>
      </c>
      <c r="E15" s="1"/>
    </row>
    <row r="16" spans="1:5" x14ac:dyDescent="0.25">
      <c r="A16" s="1"/>
      <c r="B16" s="33"/>
      <c r="C16" s="28"/>
      <c r="D16" s="19"/>
      <c r="E16" s="1"/>
    </row>
    <row r="17" spans="1:5" ht="29.25" customHeight="1" x14ac:dyDescent="0.25">
      <c r="A17" s="1"/>
      <c r="B17" s="120" t="s">
        <v>121</v>
      </c>
      <c r="C17" s="121"/>
      <c r="D17" s="122"/>
      <c r="E17" s="1"/>
    </row>
    <row r="18" spans="1:5" x14ac:dyDescent="0.25">
      <c r="A18" s="1"/>
      <c r="B18" s="1"/>
      <c r="C18" s="1"/>
      <c r="D18" s="1"/>
      <c r="E18" s="1"/>
    </row>
    <row r="19" spans="1:5" x14ac:dyDescent="0.25">
      <c r="A19" s="1"/>
      <c r="B19" s="76" t="s">
        <v>205</v>
      </c>
      <c r="C19" s="77"/>
      <c r="D19" s="78"/>
      <c r="E19" s="1"/>
    </row>
    <row r="20" spans="1:5" x14ac:dyDescent="0.25">
      <c r="A20" s="1"/>
      <c r="B20" s="65" t="s">
        <v>206</v>
      </c>
      <c r="C20" s="9">
        <v>67008531.877350554</v>
      </c>
      <c r="D20" s="14" t="s">
        <v>3</v>
      </c>
      <c r="E20" s="1"/>
    </row>
    <row r="21" spans="1:5" x14ac:dyDescent="0.25">
      <c r="A21" s="1"/>
      <c r="B21" s="65" t="s">
        <v>207</v>
      </c>
      <c r="C21" s="9">
        <v>66069044</v>
      </c>
      <c r="D21" s="14" t="s">
        <v>3</v>
      </c>
      <c r="E21" s="1"/>
    </row>
    <row r="22" spans="1:5" x14ac:dyDescent="0.25">
      <c r="A22" s="1"/>
      <c r="B22" s="65" t="s">
        <v>29</v>
      </c>
      <c r="C22" s="9">
        <v>0</v>
      </c>
      <c r="D22" s="14" t="s">
        <v>3</v>
      </c>
      <c r="E22" s="1"/>
    </row>
    <row r="23" spans="1:5" x14ac:dyDescent="0.25">
      <c r="A23" s="1"/>
      <c r="B23" s="82" t="s">
        <v>208</v>
      </c>
      <c r="C23" s="57">
        <f>C20-C21-C22</f>
        <v>939487.87735055387</v>
      </c>
      <c r="D23" s="17" t="s">
        <v>3</v>
      </c>
      <c r="E23" s="1"/>
    </row>
    <row r="24" spans="1:5" x14ac:dyDescent="0.25">
      <c r="A24" s="1"/>
      <c r="B24" s="33"/>
      <c r="C24" s="28"/>
      <c r="D24" s="19"/>
      <c r="E24" s="1"/>
    </row>
    <row r="25" spans="1:5" x14ac:dyDescent="0.25">
      <c r="A25" s="1"/>
      <c r="B25" s="1"/>
      <c r="C25" s="1"/>
      <c r="D25" s="1"/>
      <c r="E25" s="1"/>
    </row>
    <row r="26" spans="1:5" x14ac:dyDescent="0.25">
      <c r="A26" s="1"/>
      <c r="B26" s="109" t="s">
        <v>209</v>
      </c>
      <c r="C26" s="110"/>
      <c r="D26" s="111"/>
      <c r="E26" s="1"/>
    </row>
    <row r="27" spans="1:5" x14ac:dyDescent="0.25">
      <c r="A27" s="1"/>
      <c r="B27" s="82" t="s">
        <v>210</v>
      </c>
      <c r="C27" s="57">
        <f>IF(AND(C15&lt;0,C23&gt;0,ABS(SUM(C14:C15))&lt;C23),ABS(C14),IF(AND(C15&lt;0,C23&gt;0,ABS(SUM(C14:C15))&gt;C23),SUM(C14,C23),C15))</f>
        <v>0</v>
      </c>
      <c r="D27" s="17" t="s">
        <v>3</v>
      </c>
      <c r="E27" s="1"/>
    </row>
    <row r="28" spans="1:5" x14ac:dyDescent="0.25">
      <c r="A28" s="1"/>
      <c r="B28" s="109"/>
      <c r="C28" s="110"/>
      <c r="D28" s="111"/>
      <c r="E28" s="1"/>
    </row>
    <row r="29" spans="1:5" x14ac:dyDescent="0.25">
      <c r="A29" s="1"/>
      <c r="B29" s="1"/>
      <c r="C29" s="1"/>
      <c r="D29" s="1"/>
      <c r="E29" s="1"/>
    </row>
    <row r="30" spans="1:5" x14ac:dyDescent="0.25">
      <c r="A30" s="1"/>
      <c r="B30" s="109" t="s">
        <v>211</v>
      </c>
      <c r="C30" s="110"/>
      <c r="D30" s="111"/>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7"/>
      <c r="C34" s="118"/>
      <c r="D34" s="119"/>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Oz8hs8VobUKPvyHn220YDkCMvJQrYUcGRC2qMncxUNXDQBrWsr3uYMywcn649ZkD8uuxrwbUfLJPqHLtY8vQaA==" saltValue="ywN07K1O+Sjxn0k+zzjM+w=="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7" t="s">
        <v>101</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x14ac:dyDescent="0.25">
      <c r="A8" s="1"/>
      <c r="B8" s="109" t="s">
        <v>120</v>
      </c>
      <c r="C8" s="110"/>
      <c r="D8" s="111"/>
      <c r="E8" s="1"/>
    </row>
    <row r="9" spans="1:5" ht="15" customHeight="1" x14ac:dyDescent="0.25">
      <c r="A9" s="1"/>
      <c r="B9" s="123" t="s">
        <v>102</v>
      </c>
      <c r="C9" s="124"/>
      <c r="D9" s="125"/>
      <c r="E9" s="1"/>
    </row>
    <row r="10" spans="1:5" x14ac:dyDescent="0.25">
      <c r="A10" s="1"/>
      <c r="B10" s="68" t="s">
        <v>103</v>
      </c>
      <c r="C10" s="9">
        <v>0</v>
      </c>
      <c r="D10" s="9" t="s">
        <v>3</v>
      </c>
      <c r="E10" s="1"/>
    </row>
    <row r="11" spans="1:5" x14ac:dyDescent="0.25">
      <c r="A11" s="1"/>
      <c r="B11" s="68" t="s">
        <v>104</v>
      </c>
      <c r="C11" s="9">
        <v>0</v>
      </c>
      <c r="D11" s="9" t="s">
        <v>3</v>
      </c>
      <c r="E11" s="1"/>
    </row>
    <row r="12" spans="1:5" x14ac:dyDescent="0.25">
      <c r="A12" s="1"/>
      <c r="B12" s="68" t="s">
        <v>105</v>
      </c>
      <c r="C12" s="9">
        <v>0</v>
      </c>
      <c r="D12" s="9" t="s">
        <v>3</v>
      </c>
      <c r="E12" s="1"/>
    </row>
    <row r="13" spans="1:5" x14ac:dyDescent="0.25">
      <c r="A13" s="1"/>
      <c r="B13" s="68" t="s">
        <v>106</v>
      </c>
      <c r="C13" s="9">
        <v>0</v>
      </c>
      <c r="D13" s="9" t="s">
        <v>3</v>
      </c>
      <c r="E13" s="1"/>
    </row>
    <row r="14" spans="1:5" x14ac:dyDescent="0.25">
      <c r="A14" s="1"/>
      <c r="B14" s="68" t="s">
        <v>107</v>
      </c>
      <c r="C14" s="9">
        <v>0</v>
      </c>
      <c r="D14" s="9" t="s">
        <v>3</v>
      </c>
      <c r="E14" s="1"/>
    </row>
    <row r="15" spans="1:5" x14ac:dyDescent="0.25">
      <c r="A15" s="1"/>
      <c r="B15" s="68" t="s">
        <v>108</v>
      </c>
      <c r="C15" s="9">
        <v>0</v>
      </c>
      <c r="D15" s="9" t="s">
        <v>3</v>
      </c>
      <c r="E15" s="1"/>
    </row>
    <row r="16" spans="1:5" x14ac:dyDescent="0.25">
      <c r="A16" s="1"/>
      <c r="B16" s="68" t="s">
        <v>109</v>
      </c>
      <c r="C16" s="9">
        <v>0</v>
      </c>
      <c r="D16" s="9" t="s">
        <v>3</v>
      </c>
      <c r="E16" s="1"/>
    </row>
    <row r="17" spans="1:5" x14ac:dyDescent="0.25">
      <c r="A17" s="1"/>
      <c r="B17" s="68" t="s">
        <v>110</v>
      </c>
      <c r="C17" s="9">
        <v>0</v>
      </c>
      <c r="D17" s="9" t="s">
        <v>3</v>
      </c>
      <c r="E17" s="1"/>
    </row>
    <row r="18" spans="1:5" x14ac:dyDescent="0.25">
      <c r="A18" s="1"/>
      <c r="B18" s="76"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IEIGSzdMtt0b1igV/k0JlMBS2StNKsDJDl4TMjEf3ZhPw05JR/qMGZFiNII2BmUlUAZjectionCFOyI+rUfYfQ==" saltValue="sko+znMNaBGCAhyfFjS59g=="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170</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9" t="s">
        <v>171</v>
      </c>
      <c r="C8" s="110"/>
      <c r="D8" s="111"/>
      <c r="E8" s="1"/>
    </row>
    <row r="9" spans="1:5" ht="26.25" x14ac:dyDescent="0.25">
      <c r="A9" s="1"/>
      <c r="B9" s="79" t="s">
        <v>215</v>
      </c>
      <c r="C9" s="7">
        <v>0</v>
      </c>
      <c r="D9" s="8" t="s">
        <v>3</v>
      </c>
      <c r="E9" s="1"/>
    </row>
    <row r="10" spans="1:5" ht="14.25" customHeight="1" x14ac:dyDescent="0.25">
      <c r="A10" s="1"/>
      <c r="B10" s="65" t="s">
        <v>172</v>
      </c>
      <c r="C10" s="7">
        <v>599776</v>
      </c>
      <c r="D10" s="8" t="s">
        <v>3</v>
      </c>
      <c r="E10" s="1"/>
    </row>
    <row r="11" spans="1:5" ht="14.25" customHeight="1" x14ac:dyDescent="0.25">
      <c r="A11" s="1"/>
      <c r="B11" s="82" t="s">
        <v>48</v>
      </c>
      <c r="C11" s="10">
        <f>C10-C9</f>
        <v>599776</v>
      </c>
      <c r="D11" s="11" t="s">
        <v>3</v>
      </c>
      <c r="E11" s="1"/>
    </row>
    <row r="12" spans="1:5" ht="14.25" customHeight="1" x14ac:dyDescent="0.25">
      <c r="A12" s="1"/>
      <c r="B12" s="109" t="s">
        <v>217</v>
      </c>
      <c r="C12" s="110"/>
      <c r="D12" s="111"/>
      <c r="E12" s="1"/>
    </row>
    <row r="13" spans="1:5" ht="26.25" x14ac:dyDescent="0.25">
      <c r="A13" s="1"/>
      <c r="B13" s="79" t="s">
        <v>216</v>
      </c>
      <c r="C13" s="7">
        <v>0</v>
      </c>
      <c r="D13" s="8" t="s">
        <v>3</v>
      </c>
      <c r="E13" s="1"/>
    </row>
    <row r="14" spans="1:5" ht="14.25" customHeight="1" x14ac:dyDescent="0.25">
      <c r="A14" s="1"/>
      <c r="B14" s="65" t="s">
        <v>173</v>
      </c>
      <c r="C14" s="7">
        <v>0</v>
      </c>
      <c r="D14" s="8" t="s">
        <v>3</v>
      </c>
      <c r="E14" s="1"/>
    </row>
    <row r="15" spans="1:5" ht="14.25" customHeight="1" x14ac:dyDescent="0.25">
      <c r="A15" s="1"/>
      <c r="B15" s="82" t="s">
        <v>48</v>
      </c>
      <c r="C15" s="10">
        <f>C14-C13</f>
        <v>0</v>
      </c>
      <c r="D15" s="11" t="s">
        <v>3</v>
      </c>
      <c r="E15" s="1"/>
    </row>
    <row r="16" spans="1:5" ht="14.25" customHeight="1" x14ac:dyDescent="0.25">
      <c r="A16" s="1"/>
      <c r="B16" s="33" t="s">
        <v>174</v>
      </c>
      <c r="C16" s="12">
        <f>C11+C15</f>
        <v>599776</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RZn2DyVyTNudOGKPw+hCp31N9F6sqEnWZKPu6jAdM8MSMv0YmYs8vdj/TqdhmFvWLRa6kdLu+cNyM1fVMK5N+Q==" saltValue="t9BSzR5otvE0/HDH67UAng=="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5" t="s">
        <v>113</v>
      </c>
      <c r="C3" s="105"/>
      <c r="D3" s="105"/>
      <c r="E3" s="105"/>
      <c r="F3" s="105"/>
      <c r="G3" s="105"/>
      <c r="H3" s="105"/>
      <c r="I3" s="105"/>
      <c r="J3" s="105"/>
      <c r="K3" s="105"/>
      <c r="L3" s="1"/>
    </row>
    <row r="4" spans="1:12" ht="15" customHeight="1" x14ac:dyDescent="0.25">
      <c r="A4" s="1"/>
      <c r="B4" s="105"/>
      <c r="C4" s="105"/>
      <c r="D4" s="105"/>
      <c r="E4" s="105"/>
      <c r="F4" s="105"/>
      <c r="G4" s="105"/>
      <c r="H4" s="105"/>
      <c r="I4" s="105"/>
      <c r="J4" s="105"/>
      <c r="K4" s="10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9" t="s">
        <v>86</v>
      </c>
      <c r="C8" s="110"/>
      <c r="D8" s="110"/>
      <c r="E8" s="110"/>
      <c r="F8" s="110"/>
      <c r="G8" s="110"/>
      <c r="H8" s="110"/>
      <c r="I8" s="110"/>
      <c r="J8" s="110"/>
      <c r="K8" s="111"/>
      <c r="L8" s="1"/>
    </row>
    <row r="9" spans="1:12" ht="39.75" customHeight="1" x14ac:dyDescent="0.25">
      <c r="A9" s="1"/>
      <c r="B9" s="18" t="s">
        <v>0</v>
      </c>
      <c r="C9" s="18" t="s">
        <v>1</v>
      </c>
      <c r="D9" s="126" t="s">
        <v>96</v>
      </c>
      <c r="E9" s="127"/>
      <c r="F9" s="126" t="s">
        <v>2</v>
      </c>
      <c r="G9" s="127"/>
      <c r="H9" s="126" t="s">
        <v>95</v>
      </c>
      <c r="I9" s="127"/>
      <c r="J9" s="126" t="s">
        <v>26</v>
      </c>
      <c r="K9" s="127"/>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6" t="s">
        <v>219</v>
      </c>
      <c r="C11" s="77"/>
      <c r="D11" s="78"/>
      <c r="E11" s="78"/>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kxLHhSwLUOC5d+8KnbZzP/+EwNm/AZZ7RTdVrg0ZGx/NEIZcX0qF4tgYqCnMwLAZlF5R9UeVeg8OT42SNwGGAw==" saltValue="8a8Hk74MK6pKSTl82BJdt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114</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ht="26.25" x14ac:dyDescent="0.25">
      <c r="A11" s="1"/>
      <c r="B11" s="70" t="s">
        <v>232</v>
      </c>
      <c r="C11" s="21">
        <v>189684</v>
      </c>
      <c r="D11" s="14" t="s">
        <v>3</v>
      </c>
      <c r="E11" s="9">
        <v>109714</v>
      </c>
      <c r="F11" s="14" t="s">
        <v>3</v>
      </c>
      <c r="G11" s="1"/>
    </row>
    <row r="12" spans="1:7" ht="26.25" x14ac:dyDescent="0.25">
      <c r="A12" s="1"/>
      <c r="B12" s="70" t="s">
        <v>233</v>
      </c>
      <c r="C12" s="21">
        <v>48435</v>
      </c>
      <c r="D12" s="14" t="s">
        <v>3</v>
      </c>
      <c r="E12" s="9">
        <v>0</v>
      </c>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238119</v>
      </c>
      <c r="D19" s="13" t="s">
        <v>3</v>
      </c>
      <c r="E19" s="12">
        <f>SUM(E10:E18)</f>
        <v>109714</v>
      </c>
      <c r="F19" s="13" t="s">
        <v>3</v>
      </c>
      <c r="G19" s="1"/>
    </row>
    <row r="20" spans="1:7" x14ac:dyDescent="0.25">
      <c r="A20" s="1"/>
      <c r="B20" s="33" t="s">
        <v>175</v>
      </c>
      <c r="C20" s="12">
        <f>C19*(1+'Fane 15. Nøgletal'!C10)</f>
        <v>253906.28969999999</v>
      </c>
      <c r="D20" s="13" t="s">
        <v>3</v>
      </c>
      <c r="E20" s="12">
        <f>E19*(1+'Fane 15. Nøgletal'!C10)</f>
        <v>116988.03820000001</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1mcIpKih9fkPQI/zPwOA9vdkNiyVaQ6X8eNH6FH7hh23tCBVwM46n2fvAAonthhPP3jpd3Na4XzaUkl2rVxM5A==" saltValue="HygHjNNxud7rBqIhtfJNd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115</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9" t="s">
        <v>176</v>
      </c>
      <c r="C8" s="110"/>
      <c r="D8" s="110"/>
      <c r="E8" s="110"/>
      <c r="F8" s="111"/>
      <c r="G8" s="1"/>
    </row>
    <row r="9" spans="1:7" x14ac:dyDescent="0.25">
      <c r="A9" s="1"/>
      <c r="B9" s="80" t="s">
        <v>17</v>
      </c>
      <c r="C9" s="82" t="s">
        <v>11</v>
      </c>
      <c r="D9" s="81"/>
      <c r="E9" s="82" t="s">
        <v>27</v>
      </c>
      <c r="F9" s="32"/>
      <c r="G9" s="1"/>
    </row>
    <row r="10" spans="1:7" ht="26.25" x14ac:dyDescent="0.25">
      <c r="A10" s="1"/>
      <c r="B10" s="70" t="s">
        <v>233</v>
      </c>
      <c r="C10" s="21">
        <v>1210870</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1210870</v>
      </c>
      <c r="D13" s="13" t="s">
        <v>3</v>
      </c>
      <c r="E13" s="12">
        <f>SUM(E10:E12)</f>
        <v>0</v>
      </c>
      <c r="F13" s="13" t="s">
        <v>3</v>
      </c>
      <c r="G13" s="1"/>
    </row>
    <row r="14" spans="1:7" x14ac:dyDescent="0.25">
      <c r="A14" s="1"/>
      <c r="B14" s="33" t="s">
        <v>178</v>
      </c>
      <c r="C14" s="12">
        <f>C13*(1+'Fane 15. Nøgletal'!C10)^2</f>
        <v>1376753.9711503</v>
      </c>
      <c r="D14" s="13" t="s">
        <v>3</v>
      </c>
      <c r="E14" s="12">
        <f>E13*(1+'Fane 15. Nøgletal'!C10)^2</f>
        <v>0</v>
      </c>
      <c r="F14" s="13" t="s">
        <v>3</v>
      </c>
      <c r="G14" s="1"/>
    </row>
    <row r="15" spans="1:7" x14ac:dyDescent="0.25">
      <c r="A15" s="1"/>
      <c r="B15" s="1"/>
      <c r="C15" s="1"/>
      <c r="D15" s="1"/>
      <c r="E15" s="1"/>
      <c r="F15" s="1"/>
      <c r="G15" s="1"/>
    </row>
    <row r="16" spans="1:7" x14ac:dyDescent="0.25">
      <c r="A16" s="1"/>
      <c r="B16" s="128"/>
      <c r="C16" s="128"/>
      <c r="D16" s="128"/>
      <c r="E16" s="128"/>
      <c r="F16" s="128"/>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8"/>
      <c r="C29" s="128"/>
      <c r="D29" s="128"/>
      <c r="E29" s="128"/>
      <c r="F29" s="128"/>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tWbdDIV++1yYVUcmFuNrYOSgWtzoMjQFh/E20xJ4DMkjf2k1uvk6f+23NBXOkEoWkaUP5ubG+101ZbVtjcPJhQ==" saltValue="IsLVQuvA4lxzucklN/9bhg=="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116</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ht="14.25" customHeight="1" x14ac:dyDescent="0.25">
      <c r="A8" s="1"/>
      <c r="B8" s="109" t="s">
        <v>73</v>
      </c>
      <c r="C8" s="110"/>
      <c r="D8" s="111"/>
      <c r="E8" s="1"/>
    </row>
    <row r="9" spans="1:5" x14ac:dyDescent="0.25">
      <c r="A9" s="1"/>
      <c r="B9" s="68" t="s">
        <v>179</v>
      </c>
      <c r="C9" s="9">
        <f>689715.143458853*(1+'Fane 15. Nøgletal'!C9)</f>
        <v>745444.1270503283</v>
      </c>
      <c r="D9" s="14" t="s">
        <v>3</v>
      </c>
      <c r="E9" s="1"/>
    </row>
    <row r="10" spans="1:5" x14ac:dyDescent="0.25">
      <c r="A10" s="1"/>
      <c r="B10" s="64" t="s">
        <v>10</v>
      </c>
      <c r="C10" s="9">
        <f>-C9*'Fane 5. Individuelt eff. krav'!C9</f>
        <v>-1870.8206636228406</v>
      </c>
      <c r="D10" s="14" t="s">
        <v>3</v>
      </c>
      <c r="E10" s="1"/>
    </row>
    <row r="11" spans="1:5" x14ac:dyDescent="0.25">
      <c r="A11" s="1"/>
      <c r="B11" s="64" t="s">
        <v>22</v>
      </c>
      <c r="C11" s="9">
        <f>-C9*'Fane 15. Nøgletal'!C21</f>
        <v>-14908.882541006566</v>
      </c>
      <c r="D11" s="14" t="s">
        <v>3</v>
      </c>
      <c r="E11" s="1"/>
    </row>
    <row r="12" spans="1:5" x14ac:dyDescent="0.25">
      <c r="A12" s="1"/>
      <c r="B12" s="76" t="s">
        <v>74</v>
      </c>
      <c r="C12" s="12">
        <f>SUM(C9:C11)*(1+'Fane 15. Nøgletal'!C9)^2</f>
        <v>851173.78244325984</v>
      </c>
      <c r="D12" s="13" t="s">
        <v>3</v>
      </c>
      <c r="E12" s="1"/>
    </row>
    <row r="13" spans="1:5" x14ac:dyDescent="0.25">
      <c r="A13" s="1"/>
      <c r="B13" s="1"/>
      <c r="C13" s="1"/>
      <c r="D13" s="1"/>
      <c r="E13" s="1"/>
    </row>
    <row r="14" spans="1:5" ht="15" customHeight="1" x14ac:dyDescent="0.25">
      <c r="A14" s="1"/>
      <c r="B14" s="109" t="s">
        <v>84</v>
      </c>
      <c r="C14" s="110"/>
      <c r="D14" s="111"/>
      <c r="E14" s="1"/>
    </row>
    <row r="15" spans="1:5" x14ac:dyDescent="0.25">
      <c r="A15" s="1"/>
      <c r="B15" s="68" t="s">
        <v>179</v>
      </c>
      <c r="C15" s="9">
        <v>714269.00256598857</v>
      </c>
      <c r="D15" s="14" t="s">
        <v>3</v>
      </c>
      <c r="E15" s="1"/>
    </row>
    <row r="16" spans="1:5" x14ac:dyDescent="0.25">
      <c r="A16" s="1"/>
      <c r="B16" s="64" t="s">
        <v>10</v>
      </c>
      <c r="C16" s="9">
        <f>-C15*'Fane 5. Individuelt eff. krav'!C9</f>
        <v>-1792.5813094446844</v>
      </c>
      <c r="D16" s="14" t="s">
        <v>3</v>
      </c>
      <c r="E16" s="1"/>
    </row>
    <row r="17" spans="1:5" x14ac:dyDescent="0.25">
      <c r="A17" s="1"/>
      <c r="B17" s="64" t="s">
        <v>22</v>
      </c>
      <c r="C17" s="9">
        <f>-C15*'Fane 15. Nøgletal'!C21</f>
        <v>-14285.380051319771</v>
      </c>
      <c r="D17" s="14" t="s">
        <v>3</v>
      </c>
      <c r="E17" s="1"/>
    </row>
    <row r="18" spans="1:5" x14ac:dyDescent="0.25">
      <c r="A18" s="1"/>
      <c r="B18" s="76" t="s">
        <v>85</v>
      </c>
      <c r="C18" s="12">
        <f>SUM(C15:C17)*(1+'Fane 15. Nøgletal'!C10)^3</f>
        <v>846471.81021504523</v>
      </c>
      <c r="D18" s="13" t="s">
        <v>3</v>
      </c>
      <c r="E18" s="1"/>
    </row>
    <row r="19" spans="1:5" x14ac:dyDescent="0.25">
      <c r="A19" s="1"/>
      <c r="B19" s="1"/>
      <c r="C19" s="1"/>
      <c r="D19" s="1"/>
      <c r="E19" s="1"/>
    </row>
    <row r="20" spans="1:5" ht="15" customHeight="1" x14ac:dyDescent="0.25">
      <c r="A20" s="1"/>
      <c r="B20" s="109" t="s">
        <v>140</v>
      </c>
      <c r="C20" s="110"/>
      <c r="D20" s="111"/>
      <c r="E20" s="1"/>
    </row>
    <row r="21" spans="1:5" x14ac:dyDescent="0.25">
      <c r="A21" s="1"/>
      <c r="B21" s="68" t="s">
        <v>179</v>
      </c>
      <c r="C21" s="9">
        <v>714269.00256598857</v>
      </c>
      <c r="D21" s="14" t="s">
        <v>3</v>
      </c>
      <c r="E21" s="1"/>
    </row>
    <row r="22" spans="1:5" x14ac:dyDescent="0.25">
      <c r="A22" s="1"/>
      <c r="B22" s="64" t="s">
        <v>10</v>
      </c>
      <c r="C22" s="9">
        <f>-C21*'Fane 5. Individuelt eff. krav'!C9</f>
        <v>-1792.5813094446844</v>
      </c>
      <c r="D22" s="14" t="s">
        <v>3</v>
      </c>
      <c r="E22" s="1"/>
    </row>
    <row r="23" spans="1:5" x14ac:dyDescent="0.25">
      <c r="A23" s="1"/>
      <c r="B23" s="64" t="s">
        <v>22</v>
      </c>
      <c r="C23" s="9">
        <f>-C21*'Fane 15. Nøgletal'!C21</f>
        <v>-14285.380051319771</v>
      </c>
      <c r="D23" s="14" t="s">
        <v>3</v>
      </c>
      <c r="E23" s="1"/>
    </row>
    <row r="24" spans="1:5" x14ac:dyDescent="0.25">
      <c r="A24" s="1"/>
      <c r="B24" s="76" t="s">
        <v>141</v>
      </c>
      <c r="C24" s="12">
        <f>SUM(C21:C23)*(1+'Fane 15. Nøgletal'!C10)^4</f>
        <v>902592.89123230265</v>
      </c>
      <c r="D24" s="13" t="s">
        <v>3</v>
      </c>
      <c r="E24" s="1"/>
    </row>
    <row r="25" spans="1:5" x14ac:dyDescent="0.25">
      <c r="A25" s="1"/>
      <c r="B25" s="1"/>
      <c r="C25" s="1"/>
      <c r="D25" s="1"/>
      <c r="E25" s="1"/>
    </row>
    <row r="26" spans="1:5" ht="15" customHeight="1" x14ac:dyDescent="0.25">
      <c r="A26" s="1"/>
      <c r="B26" s="109" t="s">
        <v>180</v>
      </c>
      <c r="C26" s="110"/>
      <c r="D26" s="111"/>
      <c r="E26" s="1"/>
    </row>
    <row r="27" spans="1:5" ht="14.25" customHeight="1" x14ac:dyDescent="0.25">
      <c r="A27" s="1"/>
      <c r="B27" s="68" t="s">
        <v>179</v>
      </c>
      <c r="C27" s="9">
        <v>714269.00256598857</v>
      </c>
      <c r="D27" s="14" t="s">
        <v>3</v>
      </c>
      <c r="E27" s="1"/>
    </row>
    <row r="28" spans="1:5" x14ac:dyDescent="0.25">
      <c r="A28" s="1"/>
      <c r="B28" s="64" t="s">
        <v>10</v>
      </c>
      <c r="C28" s="9">
        <f>-C27*'Fane 5. Individuelt eff. krav'!C9</f>
        <v>-1792.5813094446844</v>
      </c>
      <c r="D28" s="14" t="s">
        <v>3</v>
      </c>
      <c r="E28" s="1"/>
    </row>
    <row r="29" spans="1:5" x14ac:dyDescent="0.25">
      <c r="A29" s="1"/>
      <c r="B29" s="64" t="s">
        <v>22</v>
      </c>
      <c r="C29" s="9">
        <f>-C27*'Fane 15. Nøgletal'!C21</f>
        <v>-14285.380051319771</v>
      </c>
      <c r="D29" s="14" t="s">
        <v>3</v>
      </c>
      <c r="E29" s="1"/>
    </row>
    <row r="30" spans="1:5" x14ac:dyDescent="0.25">
      <c r="A30" s="1"/>
      <c r="B30" s="76" t="s">
        <v>181</v>
      </c>
      <c r="C30" s="12">
        <f>SUM(C27:C29)*(1+'Fane 15. Nøgletal'!C10)^5</f>
        <v>962434.79992100433</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Nq2PxhuH3HNNYarVUNL9UZwqxFIvvheZX9ukOpJwg5Wy3bwOAaPyYOY1xRu9oJhj3RxFPwPFol5BIBxNPQl/Nw==" saltValue="F5xymMn+waIhohNeTvdZGw=="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x14ac:dyDescent="0.25">
      <c r="A8" s="1"/>
      <c r="B8" s="109" t="s">
        <v>66</v>
      </c>
      <c r="C8" s="110"/>
      <c r="D8" s="110"/>
      <c r="E8" s="110"/>
      <c r="F8" s="111"/>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6bLSc6W3CZN37hArurXwx2nhCXbSCrOErbryCcWrU/dBiMUJZhqd29cLO1YXsh2K7Y1KtvIqXQDHry+jvjv6DA==" saltValue="/WUXElzlCtwohS1WoV3MUQ=="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9" t="s">
        <v>183</v>
      </c>
      <c r="C8" s="110"/>
      <c r="D8" s="110"/>
      <c r="E8" s="110"/>
      <c r="F8" s="111"/>
      <c r="G8" s="1"/>
    </row>
    <row r="9" spans="1:7" x14ac:dyDescent="0.25">
      <c r="A9" s="1"/>
      <c r="B9" s="31" t="s">
        <v>18</v>
      </c>
      <c r="C9" s="129" t="s">
        <v>11</v>
      </c>
      <c r="D9" s="130"/>
      <c r="E9" s="129" t="s">
        <v>27</v>
      </c>
      <c r="F9" s="130"/>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8"/>
      <c r="C14" s="128"/>
      <c r="D14" s="128"/>
      <c r="E14" s="128"/>
      <c r="F14" s="128"/>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8"/>
      <c r="C21" s="128"/>
      <c r="D21" s="128"/>
      <c r="E21" s="128"/>
      <c r="F21" s="128"/>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8"/>
      <c r="C27" s="128"/>
      <c r="D27" s="128"/>
      <c r="E27" s="128"/>
      <c r="F27" s="128"/>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rxEnzYh0uyJu1J28nouf3W96EvlO4f5U+1BxEltNGEGoXHWlXe+pTjfxmOhVgop6QxqqOuFr383WIAHQS1632g==" saltValue="dyHw4rrHHIqTkEgoSu0SFA=="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155</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66847679.031225368</v>
      </c>
      <c r="D9" s="8" t="s">
        <v>3</v>
      </c>
      <c r="E9" s="1"/>
    </row>
    <row r="10" spans="1:5" ht="17.25" customHeight="1" x14ac:dyDescent="0.25">
      <c r="A10" s="1"/>
      <c r="B10" s="64" t="s">
        <v>35</v>
      </c>
      <c r="C10" s="7">
        <f>'Fane 11.1. Varige tillæg'!C20</f>
        <v>253906.28969999999</v>
      </c>
      <c r="D10" s="8" t="s">
        <v>3</v>
      </c>
      <c r="E10" s="1"/>
    </row>
    <row r="11" spans="1:5" ht="17.25" customHeight="1" x14ac:dyDescent="0.25">
      <c r="A11" s="1"/>
      <c r="B11" s="64" t="s">
        <v>36</v>
      </c>
      <c r="C11" s="9">
        <f>'Fane 11.1. Varige tillæg'!E20</f>
        <v>116988.03820000001</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5425882.75966278</v>
      </c>
      <c r="D16" s="8" t="s">
        <v>3</v>
      </c>
      <c r="E16" s="1"/>
    </row>
    <row r="17" spans="1:5" ht="17.25" customHeight="1" x14ac:dyDescent="0.25">
      <c r="A17" s="1"/>
      <c r="B17" s="64" t="s">
        <v>10</v>
      </c>
      <c r="C17" s="38">
        <f>-SUM(C9,C10:C16)*'Fane 5. Individuelt eff. krav'!C9</f>
        <v>-182313.79747055948</v>
      </c>
      <c r="D17" s="8" t="s">
        <v>3</v>
      </c>
      <c r="E17" s="1"/>
    </row>
    <row r="18" spans="1:5" ht="17.25" customHeight="1" x14ac:dyDescent="0.25">
      <c r="A18" s="1"/>
      <c r="B18" s="64" t="s">
        <v>22</v>
      </c>
      <c r="C18" s="38">
        <f>-'Fane 4.1. Gen. krav - drift'!C17</f>
        <v>-499997.16583723947</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71962145.155480355</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5104921.90681546</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851173.78244325984</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1376753.9711503</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-30990.28107325509</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1345763.690077045</v>
      </c>
      <c r="D30" s="11" t="s">
        <v>3</v>
      </c>
      <c r="E30" s="1"/>
    </row>
    <row r="31" spans="1:5" x14ac:dyDescent="0.25">
      <c r="A31" s="1"/>
      <c r="B31" s="33" t="s">
        <v>69</v>
      </c>
      <c r="C31" s="28"/>
      <c r="D31" s="19"/>
      <c r="E31" s="1"/>
    </row>
    <row r="32" spans="1:5" x14ac:dyDescent="0.25">
      <c r="A32" s="1"/>
      <c r="B32" s="31" t="s">
        <v>79</v>
      </c>
      <c r="C32" s="62">
        <f>'Fane 7. Kontrol af ØR2023'!C27</f>
        <v>0</v>
      </c>
      <c r="D32" s="11" t="s">
        <v>3</v>
      </c>
      <c r="E32" s="1"/>
    </row>
    <row r="33" spans="1:5" ht="15" customHeight="1" x14ac:dyDescent="0.25">
      <c r="A33" s="1"/>
      <c r="B33" s="33" t="s">
        <v>154</v>
      </c>
      <c r="C33" s="28"/>
      <c r="D33" s="19"/>
      <c r="E33" s="1"/>
    </row>
    <row r="34" spans="1:5" x14ac:dyDescent="0.25">
      <c r="A34" s="1"/>
      <c r="B34" s="31" t="s">
        <v>154</v>
      </c>
      <c r="C34" s="10">
        <f>'Fane 9. Korrektion af ØR2023'!C16</f>
        <v>599776</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79863780.534816116</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IUP+xiwSQjV7EqN9CMW69W55sa7BBTWJQigwgIdjb6V5cC+XdRfegooJ+KEQoJh2jIezBQTg5Psi7o9ctrp4hw==" saltValue="orVgWoSr6J9f65bK/jYFv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15" customHeight="1" x14ac:dyDescent="0.25">
      <c r="A4" s="1"/>
      <c r="B4" s="107"/>
      <c r="C4" s="107"/>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gU/jldy1vLufoaUrajCRT5vYS2yrpntXs/Sb/Oy70eINXhC0yj60m9nImZF1mAp5kC09GrxXEe/CzdSQIE99DA==" saltValue="bSGAF9+SVBlhf4OxUofAe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156</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71962145.155480355</v>
      </c>
      <c r="D9" s="8" t="s">
        <v>3</v>
      </c>
      <c r="E9" s="1"/>
    </row>
    <row r="10" spans="1:5" ht="15" customHeight="1" x14ac:dyDescent="0.25">
      <c r="A10" s="1"/>
      <c r="B10" s="26" t="s">
        <v>19</v>
      </c>
      <c r="C10" s="7">
        <f>C9*'Fane 15. Nøgletal'!C10</f>
        <v>4771090.2238083472</v>
      </c>
      <c r="D10" s="8" t="s">
        <v>3</v>
      </c>
      <c r="E10" s="1"/>
    </row>
    <row r="11" spans="1:5" ht="15" customHeight="1" x14ac:dyDescent="0.25">
      <c r="A11" s="1"/>
      <c r="B11" s="26" t="s">
        <v>10</v>
      </c>
      <c r="C11" s="9">
        <f>-SUM(C9:C10)*'Fane 5. Individuelt eff. krav'!C9</f>
        <v>-192575.2945458735</v>
      </c>
      <c r="D11" s="8" t="s">
        <v>3</v>
      </c>
      <c r="E11" s="1"/>
    </row>
    <row r="12" spans="1:5" ht="15" customHeight="1" x14ac:dyDescent="0.25">
      <c r="A12" s="1"/>
      <c r="B12" s="26" t="s">
        <v>22</v>
      </c>
      <c r="C12" s="9">
        <f>-'Fane 4.1. Gen. krav - drift'!C22</f>
        <v>-522484.03837360354</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76018176.046369225</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5443378.2292373255</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846471.81021504523</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82308026.085821584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cdADW+uNQwMlmukGxeqLrIGjzfn3r9Gsm9V/gVJyHtmuMHFdxqyflimwxJhRKevP2qQNebtw6Wsz/tONmqI4gA==" saltValue="+VclSXTV6XDIpjvjAnNlt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157</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76018176.046369225</v>
      </c>
      <c r="D9" s="8" t="s">
        <v>3</v>
      </c>
      <c r="E9" s="1"/>
    </row>
    <row r="10" spans="1:5" ht="15" customHeight="1" x14ac:dyDescent="0.25">
      <c r="A10" s="1"/>
      <c r="B10" s="26" t="s">
        <v>19</v>
      </c>
      <c r="C10" s="7">
        <f>SUM(C9:C9)*'Fane 15. Nøgletal'!C10</f>
        <v>5040005.0718742795</v>
      </c>
      <c r="D10" s="8" t="s">
        <v>3</v>
      </c>
      <c r="E10" s="1"/>
    </row>
    <row r="11" spans="1:5" ht="15" customHeight="1" x14ac:dyDescent="0.25">
      <c r="A11" s="1"/>
      <c r="B11" s="26" t="s">
        <v>10</v>
      </c>
      <c r="C11" s="9">
        <f>-SUM(C9:C10)*'Fane 5. Individuelt eff. krav'!C9</f>
        <v>-203429.49214952291</v>
      </c>
      <c r="D11" s="8" t="s">
        <v>3</v>
      </c>
      <c r="E11" s="1"/>
    </row>
    <row r="12" spans="1:5" ht="15" customHeight="1" x14ac:dyDescent="0.25">
      <c r="A12" s="1"/>
      <c r="B12" s="26" t="s">
        <v>22</v>
      </c>
      <c r="C12" s="9">
        <f>-'Fane 4.1. Gen. krav - drift'!C27</f>
        <v>-545982.235515418</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80308769.390578568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5804274.2058357596</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902592.89123230265</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87015636.487646624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tX1Ef4ReBsF9KhF14LH9Jj5ey0gtpesir3PiFsZcXXiFVFpxvQ8q64DpPYdthQV433/zr47E/MizGmURin4pgw==" saltValue="G39DCCejK1qXOAwyFUZ/+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158</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80308769.390578568</v>
      </c>
      <c r="D9" s="8" t="s">
        <v>3</v>
      </c>
      <c r="E9" s="1"/>
    </row>
    <row r="10" spans="1:5" ht="15" customHeight="1" x14ac:dyDescent="0.25">
      <c r="A10" s="1"/>
      <c r="B10" s="26" t="s">
        <v>19</v>
      </c>
      <c r="C10" s="7">
        <f>SUM(C9:C9)*'Fane 15. Nøgletal'!C10</f>
        <v>5324471.4105953593</v>
      </c>
      <c r="D10" s="8" t="s">
        <v>3</v>
      </c>
      <c r="E10" s="1"/>
    </row>
    <row r="11" spans="1:5" ht="15" customHeight="1" x14ac:dyDescent="0.25">
      <c r="A11" s="1"/>
      <c r="B11" s="26" t="s">
        <v>10</v>
      </c>
      <c r="C11" s="9">
        <f>-SUM(C9:C10)*'Fane 5. Individuelt eff. krav'!C9</f>
        <v>-214911.39385287635</v>
      </c>
      <c r="D11" s="8" t="s">
        <v>3</v>
      </c>
      <c r="E11" s="1"/>
    </row>
    <row r="12" spans="1:5" ht="15" customHeight="1" x14ac:dyDescent="0.25">
      <c r="A12" s="1"/>
      <c r="B12" s="26" t="s">
        <v>22</v>
      </c>
      <c r="C12" s="9">
        <f>-'Fane 4.1. Gen. krav - drift'!C32</f>
        <v>-570537.24057548842</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84847792.166745558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6189097.5856826706</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962434.79992100433</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91999324.55234924</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nvTWFZPAnt4ALQzMsrajFfEDXA03pxEwGs/5k//8NTmduQHq5C9qbkF4n99hRL4WKjaMZQOqiBRVk+VPinTTeg==" saltValue="3eH059UhawIYEc14JGeUV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7" t="s">
        <v>161</v>
      </c>
      <c r="C3" s="107"/>
      <c r="D3" s="107"/>
      <c r="E3" s="1"/>
    </row>
    <row r="4" spans="1:5" ht="15" customHeight="1" x14ac:dyDescent="0.25">
      <c r="A4" s="1"/>
      <c r="B4" s="107"/>
      <c r="C4" s="107"/>
      <c r="D4" s="107"/>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61538988.727446705</v>
      </c>
      <c r="D9" s="8" t="s">
        <v>3</v>
      </c>
      <c r="E9" s="1"/>
    </row>
    <row r="10" spans="1:5" ht="15" customHeight="1" x14ac:dyDescent="0.25">
      <c r="A10" s="1"/>
      <c r="B10" s="64" t="s">
        <v>35</v>
      </c>
      <c r="C10" s="7">
        <v>512313.25040000002</v>
      </c>
      <c r="D10" s="8" t="s">
        <v>3</v>
      </c>
      <c r="E10" s="1"/>
    </row>
    <row r="11" spans="1:5" ht="15" customHeight="1" x14ac:dyDescent="0.25">
      <c r="A11" s="1"/>
      <c r="B11" s="64" t="s">
        <v>36</v>
      </c>
      <c r="C11" s="9">
        <v>387621.35440000001</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5045065.0052455338</v>
      </c>
      <c r="D16" s="8" t="s">
        <v>3</v>
      </c>
      <c r="E16" s="1"/>
    </row>
    <row r="17" spans="1:5" ht="15" customHeight="1" x14ac:dyDescent="0.25">
      <c r="A17" s="1"/>
      <c r="B17" s="64" t="s">
        <v>10</v>
      </c>
      <c r="C17" s="38">
        <v>-169362.71313187169</v>
      </c>
      <c r="D17" s="8" t="s">
        <v>3</v>
      </c>
      <c r="E17" s="1"/>
    </row>
    <row r="18" spans="1:5" ht="15" customHeight="1" x14ac:dyDescent="0.25">
      <c r="A18" s="1"/>
      <c r="B18" s="64" t="s">
        <v>22</v>
      </c>
      <c r="C18" s="38">
        <v>-466946.59313499561</v>
      </c>
      <c r="D18" s="8" t="s">
        <v>3</v>
      </c>
      <c r="E18" s="1"/>
    </row>
    <row r="19" spans="1:5" ht="15" customHeight="1" x14ac:dyDescent="0.25">
      <c r="A19" s="1"/>
      <c r="B19" s="64" t="s">
        <v>23</v>
      </c>
      <c r="C19" s="38">
        <v>0</v>
      </c>
      <c r="D19" s="8" t="s">
        <v>3</v>
      </c>
      <c r="E19" s="43"/>
    </row>
    <row r="20" spans="1:5" ht="15" customHeight="1" x14ac:dyDescent="0.25">
      <c r="A20" s="1"/>
      <c r="B20" s="82" t="s">
        <v>21</v>
      </c>
      <c r="C20" s="10">
        <v>66847679.031225368</v>
      </c>
      <c r="D20" s="11" t="s">
        <v>3</v>
      </c>
      <c r="E20" s="1"/>
    </row>
    <row r="21" spans="1:5" ht="15" customHeight="1" x14ac:dyDescent="0.25">
      <c r="A21" s="1"/>
      <c r="B21" s="33" t="s">
        <v>12</v>
      </c>
      <c r="C21" s="28"/>
      <c r="D21" s="19"/>
      <c r="E21" s="1"/>
    </row>
    <row r="22" spans="1:5" ht="15" customHeight="1" x14ac:dyDescent="0.25">
      <c r="A22" s="1"/>
      <c r="B22" s="31" t="s">
        <v>12</v>
      </c>
      <c r="C22" s="10">
        <v>4893511.6492729597</v>
      </c>
      <c r="D22" s="11" t="s">
        <v>3</v>
      </c>
      <c r="E22" s="1"/>
    </row>
    <row r="23" spans="1:5" ht="15" customHeight="1" x14ac:dyDescent="0.25">
      <c r="A23" s="1"/>
      <c r="B23" s="33" t="s">
        <v>42</v>
      </c>
      <c r="C23" s="28"/>
      <c r="D23" s="19"/>
      <c r="E23" s="1"/>
    </row>
    <row r="24" spans="1:5" ht="15" customHeight="1" x14ac:dyDescent="0.25">
      <c r="A24" s="1"/>
      <c r="B24" s="82" t="s">
        <v>42</v>
      </c>
      <c r="C24" s="10">
        <v>787540.50929243164</v>
      </c>
      <c r="D24" s="11" t="s">
        <v>3</v>
      </c>
      <c r="E24" s="1"/>
    </row>
    <row r="25" spans="1:5" x14ac:dyDescent="0.25">
      <c r="A25" s="1"/>
      <c r="B25" s="41" t="s">
        <v>41</v>
      </c>
      <c r="C25" s="39"/>
      <c r="D25" s="40"/>
      <c r="E25" s="1"/>
    </row>
    <row r="26" spans="1:5" ht="15" customHeight="1" x14ac:dyDescent="0.25">
      <c r="A26" s="1"/>
      <c r="B26" s="64" t="s">
        <v>89</v>
      </c>
      <c r="C26" s="71">
        <v>1617852.3257567999</v>
      </c>
      <c r="D26" s="8" t="s">
        <v>3</v>
      </c>
      <c r="E26" s="1"/>
    </row>
    <row r="27" spans="1:5" ht="15" customHeight="1" x14ac:dyDescent="0.25">
      <c r="A27" s="1"/>
      <c r="B27" s="64" t="s">
        <v>38</v>
      </c>
      <c r="C27" s="71">
        <v>0</v>
      </c>
      <c r="D27" s="8" t="s">
        <v>3</v>
      </c>
      <c r="E27" s="1"/>
    </row>
    <row r="28" spans="1:5" ht="15" customHeight="1" x14ac:dyDescent="0.25">
      <c r="A28" s="1"/>
      <c r="B28" s="64" t="s">
        <v>92</v>
      </c>
      <c r="C28" s="71">
        <v>-36417.326087922476</v>
      </c>
      <c r="D28" s="8" t="s">
        <v>3</v>
      </c>
      <c r="E28" s="1"/>
    </row>
    <row r="29" spans="1:5" ht="15" customHeight="1" x14ac:dyDescent="0.25">
      <c r="A29" s="1"/>
      <c r="B29" s="64" t="s">
        <v>93</v>
      </c>
      <c r="C29" s="71">
        <v>0</v>
      </c>
      <c r="D29" s="8" t="s">
        <v>3</v>
      </c>
      <c r="E29" s="1"/>
    </row>
    <row r="30" spans="1:5" ht="15" customHeight="1" x14ac:dyDescent="0.25">
      <c r="A30" s="1"/>
      <c r="B30" s="67" t="s">
        <v>43</v>
      </c>
      <c r="C30" s="10">
        <v>1581434.9996688773</v>
      </c>
      <c r="D30" s="11" t="s">
        <v>3</v>
      </c>
      <c r="E30" s="1"/>
    </row>
    <row r="31" spans="1:5" ht="15" customHeight="1" x14ac:dyDescent="0.25">
      <c r="A31" s="1"/>
      <c r="B31" s="33" t="s">
        <v>69</v>
      </c>
      <c r="C31" s="28"/>
      <c r="D31" s="19"/>
      <c r="E31" s="1"/>
    </row>
    <row r="32" spans="1:5" ht="15" customHeight="1" x14ac:dyDescent="0.25">
      <c r="A32" s="1"/>
      <c r="B32" s="31" t="s">
        <v>79</v>
      </c>
      <c r="C32" s="10">
        <v>0</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74110166.189459637</v>
      </c>
      <c r="D37" s="30" t="s">
        <v>3</v>
      </c>
      <c r="E37" s="1"/>
    </row>
    <row r="38" spans="1:5" ht="30" customHeight="1" x14ac:dyDescent="0.25">
      <c r="A38" s="1"/>
      <c r="B38" s="108" t="s">
        <v>223</v>
      </c>
      <c r="C38" s="108"/>
      <c r="D38" s="108"/>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7mZ+FGFZhHSaAAUCRZCi49zkxNeP5b9zDP/NOGn21gwrsfKs724UFti/dKOeA/OnQ3El95BeAcy9oN+6jZCEOg==" saltValue="6x23EzkczpBwD4lD64CWLA=="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7" t="s">
        <v>56</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9" t="s">
        <v>123</v>
      </c>
      <c r="C8" s="110"/>
      <c r="D8" s="111"/>
      <c r="E8" s="1"/>
    </row>
    <row r="9" spans="1:5" x14ac:dyDescent="0.25">
      <c r="A9" s="1"/>
      <c r="B9" s="65" t="s">
        <v>88</v>
      </c>
      <c r="C9" s="23">
        <v>22793621.495717466</v>
      </c>
      <c r="D9" s="14" t="s">
        <v>3</v>
      </c>
      <c r="E9" s="1"/>
    </row>
    <row r="10" spans="1:5" x14ac:dyDescent="0.25">
      <c r="A10" s="1"/>
      <c r="B10" s="65" t="s">
        <v>125</v>
      </c>
      <c r="C10" s="23">
        <f>('Fane 3. Omkostninger i ØR2024'!C10+'Fane 3. Omkostninger i ØR2024'!C12+'Fane 3. Omkostninger i ØR2024'!C14)*(1+'Fane 15. Nøgletal'!C9)</f>
        <v>553708.16103232</v>
      </c>
      <c r="D10" s="14" t="s">
        <v>3</v>
      </c>
      <c r="E10" s="1"/>
    </row>
    <row r="11" spans="1:5" x14ac:dyDescent="0.25">
      <c r="A11" s="1"/>
      <c r="B11" s="65" t="s">
        <v>131</v>
      </c>
      <c r="C11" s="23">
        <f>C9*'Fane 15. Nøgletal'!C21+C10*'Fane 15. Nøgletal'!C21</f>
        <v>466946.59313499572</v>
      </c>
      <c r="D11" s="14" t="s">
        <v>3</v>
      </c>
      <c r="E11" s="1"/>
    </row>
    <row r="12" spans="1:5" x14ac:dyDescent="0.25">
      <c r="A12" s="1"/>
      <c r="B12" s="33"/>
      <c r="C12" s="28"/>
      <c r="D12" s="19"/>
      <c r="E12" s="1"/>
    </row>
    <row r="13" spans="1:5" x14ac:dyDescent="0.25">
      <c r="A13" s="1"/>
      <c r="B13" s="1"/>
      <c r="C13" s="1"/>
      <c r="D13" s="1"/>
      <c r="E13" s="1"/>
    </row>
    <row r="14" spans="1:5" x14ac:dyDescent="0.25">
      <c r="A14" s="1"/>
      <c r="B14" s="109" t="s">
        <v>124</v>
      </c>
      <c r="C14" s="110"/>
      <c r="D14" s="111"/>
      <c r="E14" s="1"/>
    </row>
    <row r="15" spans="1:5" x14ac:dyDescent="0.25">
      <c r="A15" s="1"/>
      <c r="B15" s="65" t="s">
        <v>133</v>
      </c>
      <c r="C15" s="23">
        <f>(C9+C10-C11)*(1+'Fane 15. Nøgletal'!C9)</f>
        <v>24729118.015154865</v>
      </c>
      <c r="D15" s="14" t="s">
        <v>3</v>
      </c>
      <c r="E15" s="1"/>
    </row>
    <row r="16" spans="1:5" x14ac:dyDescent="0.25">
      <c r="A16" s="1"/>
      <c r="B16" s="65" t="s">
        <v>184</v>
      </c>
      <c r="C16" s="23">
        <f>('Fane 2.1. Økonomisk ramme 2025'!C10+'Fane 2.1. Økonomisk ramme 2025'!C12+'Fane 2.1. Økonomisk ramme 2025'!C14)*(1+'Fane 15. Nøgletal'!C10)</f>
        <v>270740.27670711</v>
      </c>
      <c r="D16" s="14" t="s">
        <v>3</v>
      </c>
      <c r="E16" s="1"/>
    </row>
    <row r="17" spans="1:5" x14ac:dyDescent="0.25">
      <c r="A17" s="1"/>
      <c r="B17" s="65" t="s">
        <v>132</v>
      </c>
      <c r="C17" s="23">
        <f>C15*'Fane 15. Nøgletal'!C21+C16*'Fane 15. Nøgletal'!C21</f>
        <v>499997.16583723947</v>
      </c>
      <c r="D17" s="14" t="s">
        <v>3</v>
      </c>
      <c r="E17" s="1"/>
    </row>
    <row r="18" spans="1:5" x14ac:dyDescent="0.25">
      <c r="A18" s="1"/>
      <c r="B18" s="33"/>
      <c r="C18" s="28"/>
      <c r="D18" s="19"/>
      <c r="E18" s="1"/>
    </row>
    <row r="19" spans="1:5" x14ac:dyDescent="0.25">
      <c r="A19" s="1"/>
      <c r="B19" s="1"/>
      <c r="C19" s="63"/>
      <c r="D19" s="1"/>
      <c r="E19" s="1"/>
    </row>
    <row r="20" spans="1:5" x14ac:dyDescent="0.25">
      <c r="A20" s="1"/>
      <c r="B20" s="109" t="s">
        <v>145</v>
      </c>
      <c r="C20" s="110"/>
      <c r="D20" s="111"/>
      <c r="E20" s="1"/>
    </row>
    <row r="21" spans="1:5" x14ac:dyDescent="0.25">
      <c r="A21" s="1"/>
      <c r="B21" s="65" t="s">
        <v>189</v>
      </c>
      <c r="C21" s="23">
        <f>(C15+C16-C17)*(1+'Fane 15. Nøgletal'!C10)</f>
        <v>26124201.918680176</v>
      </c>
      <c r="D21" s="14" t="s">
        <v>3</v>
      </c>
      <c r="E21" s="1"/>
    </row>
    <row r="22" spans="1:5" x14ac:dyDescent="0.25">
      <c r="A22" s="1"/>
      <c r="B22" s="65" t="s">
        <v>196</v>
      </c>
      <c r="C22" s="23">
        <f>C21*'Fane 15. Nøgletal'!C21</f>
        <v>522484.03837360354</v>
      </c>
      <c r="D22" s="14" t="s">
        <v>3</v>
      </c>
      <c r="E22" s="1"/>
    </row>
    <row r="23" spans="1:5" x14ac:dyDescent="0.25">
      <c r="A23" s="1"/>
      <c r="B23" s="33"/>
      <c r="C23" s="28"/>
      <c r="D23" s="19"/>
      <c r="E23" s="1"/>
    </row>
    <row r="24" spans="1:5" x14ac:dyDescent="0.25">
      <c r="A24" s="1"/>
      <c r="B24" s="1"/>
      <c r="C24" s="1"/>
      <c r="D24" s="1"/>
      <c r="E24" s="1"/>
    </row>
    <row r="25" spans="1:5" x14ac:dyDescent="0.25">
      <c r="A25" s="1"/>
      <c r="B25" s="109" t="s">
        <v>187</v>
      </c>
      <c r="C25" s="110"/>
      <c r="D25" s="111"/>
      <c r="E25" s="1"/>
    </row>
    <row r="26" spans="1:5" x14ac:dyDescent="0.25">
      <c r="A26" s="1"/>
      <c r="B26" s="65" t="s">
        <v>190</v>
      </c>
      <c r="C26" s="23">
        <f>(C21-C22)*(1+'Fane 15. Nøgletal'!C10)</f>
        <v>27299111.775770899</v>
      </c>
      <c r="D26" s="14" t="s">
        <v>3</v>
      </c>
      <c r="E26" s="1"/>
    </row>
    <row r="27" spans="1:5" x14ac:dyDescent="0.25">
      <c r="A27" s="1"/>
      <c r="B27" s="65" t="s">
        <v>194</v>
      </c>
      <c r="C27" s="23">
        <f>C26*'Fane 15. Nøgletal'!C21</f>
        <v>545982.235515418</v>
      </c>
      <c r="D27" s="14" t="s">
        <v>3</v>
      </c>
      <c r="E27" s="1"/>
    </row>
    <row r="28" spans="1:5" x14ac:dyDescent="0.25">
      <c r="A28" s="1"/>
      <c r="B28" s="33"/>
      <c r="C28" s="28"/>
      <c r="D28" s="19"/>
      <c r="E28" s="1"/>
    </row>
    <row r="29" spans="1:5" x14ac:dyDescent="0.25">
      <c r="A29" s="1"/>
      <c r="B29" s="1"/>
      <c r="C29" s="1"/>
      <c r="D29" s="1"/>
      <c r="E29" s="1"/>
    </row>
    <row r="30" spans="1:5" x14ac:dyDescent="0.25">
      <c r="A30" s="1"/>
      <c r="B30" s="109" t="s">
        <v>188</v>
      </c>
      <c r="C30" s="110"/>
      <c r="D30" s="111"/>
      <c r="E30" s="1"/>
    </row>
    <row r="31" spans="1:5" x14ac:dyDescent="0.25">
      <c r="A31" s="1"/>
      <c r="B31" s="65" t="s">
        <v>191</v>
      </c>
      <c r="C31" s="23">
        <f>(C26-C27)*(1+'Fane 15. Nøgletal'!C10)</f>
        <v>28526862.028774418</v>
      </c>
      <c r="D31" s="14" t="s">
        <v>3</v>
      </c>
      <c r="E31" s="1"/>
    </row>
    <row r="32" spans="1:5" x14ac:dyDescent="0.25">
      <c r="A32" s="1"/>
      <c r="B32" s="65" t="s">
        <v>195</v>
      </c>
      <c r="C32" s="23">
        <f>C31*'Fane 15. Nøgletal'!C21</f>
        <v>570537.24057548842</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7aKY5F1C8ApoA3cE8rPKBuNy+oOgKzdXK3zSu7DTtDFKgYeVXksXoJgYEIdls7KmTIp1wwyEELiXkqqAvVhMJQ==" saltValue="j+ao3A6MxRZsddZTzdDq4g=="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2" t="s">
        <v>57</v>
      </c>
      <c r="C3" s="112"/>
      <c r="D3" s="112"/>
      <c r="E3" s="1"/>
    </row>
    <row r="4" spans="1:5" ht="15" customHeight="1" x14ac:dyDescent="0.25">
      <c r="A4" s="1"/>
      <c r="B4" s="112"/>
      <c r="C4" s="112"/>
      <c r="D4" s="112"/>
      <c r="E4" s="1"/>
    </row>
    <row r="5" spans="1:5" ht="15" customHeight="1" x14ac:dyDescent="0.25">
      <c r="A5" s="1"/>
      <c r="B5" s="112"/>
      <c r="C5" s="112"/>
      <c r="D5" s="112"/>
      <c r="E5" s="1"/>
    </row>
    <row r="6" spans="1:5" ht="15" customHeight="1" x14ac:dyDescent="0.35">
      <c r="A6" s="1"/>
      <c r="B6" s="69"/>
      <c r="C6" s="69"/>
      <c r="D6" s="69"/>
      <c r="E6" s="1"/>
    </row>
    <row r="7" spans="1:5" x14ac:dyDescent="0.25">
      <c r="A7" s="1"/>
      <c r="B7" s="1"/>
      <c r="C7" s="1"/>
      <c r="D7" s="1"/>
      <c r="E7" s="1"/>
    </row>
    <row r="8" spans="1:5" x14ac:dyDescent="0.25">
      <c r="A8" s="1"/>
      <c r="B8" s="109" t="s">
        <v>147</v>
      </c>
      <c r="C8" s="110"/>
      <c r="D8" s="111"/>
      <c r="E8" s="1"/>
    </row>
    <row r="9" spans="1:5" x14ac:dyDescent="0.25">
      <c r="A9" s="1"/>
      <c r="B9" s="65" t="s">
        <v>134</v>
      </c>
      <c r="C9" s="23">
        <v>46563785.581761569</v>
      </c>
      <c r="D9" s="14" t="s">
        <v>3</v>
      </c>
      <c r="E9" s="1"/>
    </row>
    <row r="10" spans="1:5" x14ac:dyDescent="0.25">
      <c r="A10" s="1"/>
      <c r="B10" s="65" t="s">
        <v>126</v>
      </c>
      <c r="C10" s="23">
        <f>('Fane 3. Omkostninger i ØR2024'!C11+'Fane 3. Omkostninger i ØR2024'!C13+'Fane 3. Omkostninger i ØR2024'!C15)*(1+'Fane 15. Nøgletal'!C9)</f>
        <v>418941.15983552003</v>
      </c>
      <c r="D10" s="14" t="s">
        <v>3</v>
      </c>
      <c r="E10" s="1"/>
    </row>
    <row r="11" spans="1:5" x14ac:dyDescent="0.25">
      <c r="A11" s="1"/>
      <c r="B11" s="65" t="s">
        <v>135</v>
      </c>
      <c r="C11" s="8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9" t="s">
        <v>146</v>
      </c>
      <c r="C14" s="110"/>
      <c r="D14" s="111"/>
      <c r="E14" s="1"/>
    </row>
    <row r="15" spans="1:5" x14ac:dyDescent="0.25">
      <c r="A15" s="1"/>
      <c r="B15" s="65" t="s">
        <v>136</v>
      </c>
      <c r="C15" s="23">
        <f>(C9+C10-C11)*(1+'Fane 15. Nøgletal'!C9)</f>
        <v>50778931.062318131</v>
      </c>
      <c r="D15" s="14" t="s">
        <v>3</v>
      </c>
      <c r="E15" s="1"/>
    </row>
    <row r="16" spans="1:5" x14ac:dyDescent="0.25">
      <c r="A16" s="1"/>
      <c r="B16" s="65" t="s">
        <v>185</v>
      </c>
      <c r="C16" s="23">
        <f>('Fane 2.1. Økonomisk ramme 2025'!C11+'Fane 2.1. Økonomisk ramme 2025'!C13+'Fane 2.1. Økonomisk ramme 2025'!C15)*(1+'Fane 15. Nøgletal'!C10)</f>
        <v>124744.34513266002</v>
      </c>
      <c r="D16" s="14" t="s">
        <v>3</v>
      </c>
      <c r="E16" s="1"/>
    </row>
    <row r="17" spans="1:5" x14ac:dyDescent="0.25">
      <c r="A17" s="1"/>
      <c r="B17" s="65" t="s">
        <v>137</v>
      </c>
      <c r="C17" s="8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9" t="s">
        <v>82</v>
      </c>
      <c r="C20" s="110"/>
      <c r="D20" s="111"/>
      <c r="E20" s="1"/>
    </row>
    <row r="21" spans="1:5" x14ac:dyDescent="0.25">
      <c r="A21" s="1"/>
      <c r="B21" s="65" t="s">
        <v>192</v>
      </c>
      <c r="C21" s="23">
        <f>(C15+C16-C17)*(1+'Fane 15. Nøgletal'!C10)</f>
        <v>54278589.086964779</v>
      </c>
      <c r="D21" s="14" t="s">
        <v>3</v>
      </c>
      <c r="E21" s="1"/>
    </row>
    <row r="22" spans="1:5" x14ac:dyDescent="0.25">
      <c r="A22" s="1"/>
      <c r="B22" s="65" t="s">
        <v>197</v>
      </c>
      <c r="C22" s="8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9" t="s">
        <v>138</v>
      </c>
      <c r="C25" s="110"/>
      <c r="D25" s="111"/>
      <c r="E25" s="1"/>
    </row>
    <row r="26" spans="1:5" x14ac:dyDescent="0.25">
      <c r="A26" s="1"/>
      <c r="B26" s="65" t="s">
        <v>193</v>
      </c>
      <c r="C26" s="23">
        <f>(C21-C22)*(1+'Fane 15. Nøgletal'!C10)</f>
        <v>57877259.543430544</v>
      </c>
      <c r="D26" s="14" t="s">
        <v>3</v>
      </c>
      <c r="E26" s="1"/>
    </row>
    <row r="27" spans="1:5" x14ac:dyDescent="0.25">
      <c r="A27" s="1"/>
      <c r="B27" s="65" t="s">
        <v>198</v>
      </c>
      <c r="C27" s="8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9" t="s">
        <v>163</v>
      </c>
      <c r="C30" s="110"/>
      <c r="D30" s="111"/>
      <c r="E30" s="1"/>
    </row>
    <row r="31" spans="1:5" x14ac:dyDescent="0.25">
      <c r="A31" s="1"/>
      <c r="B31" s="65" t="s">
        <v>200</v>
      </c>
      <c r="C31" s="23">
        <f>(C26-C27)*(1+'Fane 15. Nøgletal'!C10)</f>
        <v>61714521.85115999</v>
      </c>
      <c r="D31" s="14" t="s">
        <v>3</v>
      </c>
      <c r="E31" s="1"/>
    </row>
    <row r="32" spans="1:5" x14ac:dyDescent="0.25">
      <c r="A32" s="1"/>
      <c r="B32" s="65" t="s">
        <v>199</v>
      </c>
      <c r="C32" s="8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FY7GRPqXriGoM0CvXr2+fy3gCpk6bIVEPDeOwBqb6w8wFLWiE2c5BzjcGb/CAWIIGNdLqvn6JctoLea/rB3cYA==" saltValue="2C7L+gj6k5P1qFCmMxMQaQ=="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5" t="s">
        <v>44</v>
      </c>
      <c r="C3" s="105"/>
      <c r="D3" s="1"/>
    </row>
    <row r="4" spans="1:4" ht="15" customHeight="1" x14ac:dyDescent="0.25">
      <c r="A4" s="1"/>
      <c r="B4" s="105"/>
      <c r="C4" s="10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9" t="s">
        <v>10</v>
      </c>
      <c r="C8" s="111"/>
      <c r="D8" s="1"/>
    </row>
    <row r="9" spans="1:4" x14ac:dyDescent="0.25">
      <c r="A9" s="1"/>
      <c r="B9" s="65" t="s">
        <v>164</v>
      </c>
      <c r="C9" s="22">
        <v>2.5096725505445333E-3</v>
      </c>
      <c r="D9" s="1"/>
    </row>
    <row r="10" spans="1:4" x14ac:dyDescent="0.25">
      <c r="A10" s="1"/>
      <c r="B10" s="33"/>
      <c r="C10" s="19"/>
      <c r="D10" s="1"/>
    </row>
    <row r="11" spans="1:4" x14ac:dyDescent="0.25">
      <c r="A11" s="1"/>
      <c r="B11" s="113" t="s">
        <v>218</v>
      </c>
      <c r="C11" s="114"/>
      <c r="D11" s="1"/>
    </row>
    <row r="12" spans="1:4" x14ac:dyDescent="0.25">
      <c r="A12" s="1"/>
      <c r="B12" s="115"/>
      <c r="C12" s="11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AhHJJeq39pvVHwnJxkiSbEhdeNihyNkXeocTNP0BMFxuyY/yBcpEIqVWPLMEzSDWjRrOAGLvOmnbfC0V3UIl5g==" saltValue="3DRz9dLzqalhaC9DKtVkXg=="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2024-05-06T07:45:39Z</cp:lastPrinted>
  <dcterms:created xsi:type="dcterms:W3CDTF">2016-06-02T08:51:18Z</dcterms:created>
  <dcterms:modified xsi:type="dcterms:W3CDTF">2024-08-16T10:58:58Z</dcterms:modified>
</cp:coreProperties>
</file>