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jen Vand (V20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5" i="19" l="1"/>
  <c r="E33" i="32" l="1"/>
  <c r="E39" i="32" s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6" i="39"/>
  <c r="E37" i="39" s="1"/>
  <c r="C36" i="39"/>
  <c r="C37" i="39" s="1"/>
  <c r="E28" i="39"/>
  <c r="E29" i="39" s="1"/>
  <c r="C28" i="39"/>
  <c r="C29" i="39" s="1"/>
  <c r="E20" i="39"/>
  <c r="E21" i="39" s="1"/>
  <c r="C20" i="39"/>
  <c r="C21" i="39" s="1"/>
  <c r="E12" i="39"/>
  <c r="E13" i="39" s="1"/>
  <c r="C12" i="39"/>
  <c r="C13" i="39" s="1"/>
  <c r="C14" i="39" l="1"/>
  <c r="C30" i="39"/>
  <c r="C22" i="39"/>
  <c r="E14" i="39"/>
  <c r="E30" i="39"/>
  <c r="C38" i="39"/>
  <c r="E22" i="39"/>
  <c r="E38" i="39"/>
  <c r="E39" i="39" l="1"/>
  <c r="C20" i="23" s="1"/>
  <c r="C39" i="39"/>
  <c r="C19" i="23" s="1"/>
  <c r="E15" i="39"/>
  <c r="C25" i="2" s="1"/>
  <c r="C31" i="39"/>
  <c r="C19" i="22" s="1"/>
  <c r="E23" i="39"/>
  <c r="C21" i="15" s="1"/>
  <c r="E31" i="39"/>
  <c r="C20" i="22" s="1"/>
  <c r="C23" i="39"/>
  <c r="C20" i="15" s="1"/>
  <c r="C15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1" i="11"/>
  <c r="C10" i="37" s="1"/>
  <c r="C14" i="37" s="1"/>
  <c r="G11" i="11"/>
  <c r="C15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4" i="37" s="1"/>
  <c r="G35" i="30" l="1"/>
  <c r="G37" i="30" s="1"/>
  <c r="C18" i="2"/>
  <c r="E15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<sst xmlns="http://schemas.openxmlformats.org/spreadsheetml/2006/main" count="600" uniqueCount="250">
  <si>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</si>
  <si>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</si>
  <si>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</si>
  <si>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</si>
  <si>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</si>
  <si>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</si>
  <si>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</si>
  <si>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</si>
  <si>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</si>
  <si>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</si>
  <si>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</si>
  <si>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</si>
  <si>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</si>
  <si>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</si>
  <si>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</si>
  <si>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</si>
  <si>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</si>
  <si>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</si>
  <si>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</si>
  <si>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</si>
  <si>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</si>
  <si>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</si>
  <si>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</si>
  <si>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</si>
  <si>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</si>
  <si>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</si>
  <si>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</si>
  <si>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</si>
  <si>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</si>
  <si>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</si>
  <si>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</si>
  <si>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</si>
  <si>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</si>
  <si>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</si>
  <si>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</si>
  <si>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</si>
  <si>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</si>
  <si>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</si>
  <si>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</si>
  <si>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</si>
  <si>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</si>
  <si>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</si>
  <si>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</si>
  <si>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</si>
  <si>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</si>
  <si>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</si>
  <si>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</si>
  <si>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</si>
  <si>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</si>
  <si>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</si>
  <si>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</si>
  <si>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</si>
  <si>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</si>
  <si>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</si>
  <si>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</si>
  <si>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</si>
  <si>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</si>
  <si>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</si>
  <si>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</si>
  <si>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</si>
  <si>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</si>
  <si>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</si>
  <si>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</si>
  <si>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</si>
  <si>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</si>
  <si>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</si>
  <si>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</si>
  <si>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</si>
  <si>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</si>
  <si>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</si>
  <si>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</si>
  <si>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</si>
  <si>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</si>
  <si>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</si>
  <si>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</si>
  <si>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</si>
  <si>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</si>
  <si>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</si>
  <si>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</si>
  <si>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</si>
  <si>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</si>
  <si>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</si>
  <si>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</si>
  <si>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</si>
  <si>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</si>
  <si>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</si>
  <si>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</si>
  <si>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</si>
  <si>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</si>
  <si>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</si>
  <si>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</si>
  <si>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</si>
  <si>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</si>
  <si>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</si>
  <si>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</si>
  <si>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</si>
  <si>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</si>
  <si>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</si>
  <si>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</si>
  <si>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</si>
  <si>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</si>
  <si>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</si>
  <si>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</si>
  <si>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</si>
  <si>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</si>
  <si>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</si>
  <si>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</si>
  <si>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</si>
  <si>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</si>
  <si>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</si>
  <si>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</si>
  <si>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</si>
  <si>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</si>
  <si>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</si>
  <si>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</si>
  <si>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</si>
  <si>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</si>
  <si>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</si>
  <si>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</si>
  <si>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</si>
  <si>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</si>
  <si>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</si>
  <si>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</si>
  <si>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</si>
  <si>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</si>
  <si>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</si>
  <si>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</si>
  <si>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</si>
  <si>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</si>
  <si>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</si>
  <si>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</si>
  <si>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</si>
  <si>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</si>
  <si>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</si>
  <si>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</si>
  <si>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</si>
  <si>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</si>
  <si>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</si>
  <si>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</si>
  <si>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</si>
  <si>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</si>
  <si>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</si>
  <si>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</si>
  <si>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</si>
  <si>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</si>
  <si>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</si>
  <si>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</si>
  <si>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</si>
  <si>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</si>
  <si>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</si>
  <si>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</si>
  <si>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</si>
  <si>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</si>
  <si>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</si>
  <si>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</si>
  <si>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</si>
  <si>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</si>
  <si>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</si>
  <si>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</si>
  <si>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</si>
  <si>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</si>
  <si>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</si>
  <si>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</si>
  <si>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</si>
  <si>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</si>
  <si>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</si>
  <si>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</si>
  <si>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</si>
  <si>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</si>
  <si>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</si>
  <si>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</si>
  <si>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</si>
  <si>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</si>
  <si>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</si>
  <si>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</si>
  <si>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</si>
  <si>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</si>
  <si>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</si>
  <si>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</si>
  <si>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</si>
  <si>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</si>
  <si>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</si>
  <si>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</si>
  <si>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</si>
  <si>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</si>
  <si>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</si>
  <si>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</si>
  <si>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</si>
  <si>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</si>
  <si>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</si>
  <si>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</si>
  <si>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</si>
  <si>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</si>
  <si>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</si>
  <si>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</si>
  <si>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</si>
  <si>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</si>
  <si>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</si>
  <si>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</si>
  <si>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</si>
  <si>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</si>
  <si>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</si>
  <si>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</si>
  <si>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</si>
  <si>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</si>
  <si>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</si>
  <si>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</si>
  <si>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</si>
  <si>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</si>
  <si>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</si>
  <si>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</si>
  <si>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</si>
  <si>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</si>
  <si>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</si>
  <si>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</si>
  <si>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</si>
  <si>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</si>
  <si>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</si>
  <si>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</si>
  <si>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</si>
  <si>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</si>
  <si>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</si>
  <si>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</si>
  <si>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</si>
  <si>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</si>
  <si>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</si>
  <si>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</si>
  <si>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</si>
  <si>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</si>
  <si>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</si>
  <si>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</si>
  <si>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</si>
  <si>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</si>
  <si>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</si>
  <si>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</si>
  <si>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</si>
  <si>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</si>
  <si>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</si>
  <si>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Erstatninger</t>
  </si>
  <si>
    <t>Ingen tilknyttet virksomhed</t>
  </si>
  <si>
    <t>Ingen bortfald eller nedsættelse</t>
  </si>
  <si>
    <t>Økonomisk ramme for 2024</t>
  </si>
  <si>
    <t>Indhentning af målerdata og skærpet krav til vandprøver</t>
  </si>
  <si>
    <t>Byggemodninger og nye tilslutninger 2019</t>
  </si>
  <si>
    <t>Indspektion af rentvandstanke</t>
  </si>
  <si>
    <t>Inspektion af rentvandstanke</t>
  </si>
  <si>
    <t>Ingen engangstillæg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</si>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</sst>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0" t="s">
        <v>206</v>
      </c>
      <c r="E8" s="70"/>
      <c r="F8" s="70"/>
      <c r="G8" s="7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9" t="s">
        <v>5</v>
      </c>
      <c r="E11" s="69"/>
      <c r="F11" s="69"/>
      <c r="G11" s="6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151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15</v>
      </c>
      <c r="D14" s="65" t="s">
        <v>207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40</v>
      </c>
      <c r="D15" s="65" t="s">
        <v>93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41</v>
      </c>
      <c r="D16" s="65" t="s">
        <v>152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150</v>
      </c>
      <c r="D17" s="65" t="s">
        <v>153</v>
      </c>
      <c r="E17" s="66"/>
      <c r="F17" s="66"/>
      <c r="G17" s="67"/>
      <c r="H17" s="1"/>
      <c r="I17" s="1"/>
    </row>
    <row r="18" spans="1:9" x14ac:dyDescent="0.25">
      <c r="A18" s="1"/>
      <c r="B18" s="1"/>
      <c r="C18" s="33" t="s">
        <v>134</v>
      </c>
      <c r="D18" s="71" t="s">
        <v>114</v>
      </c>
      <c r="E18" s="72"/>
      <c r="F18" s="72"/>
      <c r="G18" s="73"/>
      <c r="H18" s="1"/>
      <c r="I18" s="1"/>
    </row>
    <row r="19" spans="1:9" x14ac:dyDescent="0.25">
      <c r="A19" s="1"/>
      <c r="B19" s="1"/>
      <c r="C19" s="33" t="s">
        <v>135</v>
      </c>
      <c r="D19" s="71" t="s">
        <v>115</v>
      </c>
      <c r="E19" s="72"/>
      <c r="F19" s="72"/>
      <c r="G19" s="73"/>
      <c r="H19" s="1"/>
      <c r="I19" s="1"/>
    </row>
    <row r="20" spans="1:9" x14ac:dyDescent="0.25">
      <c r="A20" s="1"/>
      <c r="B20" s="1"/>
      <c r="C20" s="33" t="s">
        <v>7</v>
      </c>
      <c r="D20" s="71" t="s">
        <v>9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136</v>
      </c>
      <c r="D21" s="62" t="s">
        <v>12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97</v>
      </c>
      <c r="D22" s="56" t="s">
        <v>154</v>
      </c>
      <c r="E22" s="57"/>
      <c r="F22" s="57"/>
      <c r="G22" s="58"/>
      <c r="H22" s="1"/>
      <c r="I22" s="1"/>
    </row>
    <row r="23" spans="1:9" x14ac:dyDescent="0.25">
      <c r="A23" s="1"/>
      <c r="B23" s="1"/>
      <c r="C23" s="6" t="s">
        <v>8</v>
      </c>
      <c r="D23" s="56" t="s">
        <v>42</v>
      </c>
      <c r="E23" s="57"/>
      <c r="F23" s="57"/>
      <c r="G23" s="58"/>
      <c r="H23" s="1"/>
      <c r="I23" s="1"/>
    </row>
    <row r="24" spans="1:9" x14ac:dyDescent="0.25">
      <c r="A24" s="1"/>
      <c r="B24" s="1"/>
      <c r="C24" s="6" t="s">
        <v>217</v>
      </c>
      <c r="D24" s="56" t="s">
        <v>98</v>
      </c>
      <c r="E24" s="57"/>
      <c r="F24" s="57"/>
      <c r="G24" s="58"/>
      <c r="H24" s="1"/>
      <c r="I24" s="1"/>
    </row>
    <row r="25" spans="1:9" x14ac:dyDescent="0.25">
      <c r="A25" s="1"/>
      <c r="B25" s="1"/>
      <c r="C25" s="6" t="s">
        <v>218</v>
      </c>
      <c r="D25" s="56" t="s">
        <v>99</v>
      </c>
      <c r="E25" s="57"/>
      <c r="F25" s="57"/>
      <c r="G25" s="58"/>
      <c r="H25" s="1"/>
      <c r="I25" s="1"/>
    </row>
    <row r="26" spans="1:9" x14ac:dyDescent="0.25">
      <c r="A26" s="1"/>
      <c r="B26" s="1"/>
      <c r="C26" s="6" t="s">
        <v>219</v>
      </c>
      <c r="D26" s="56" t="s">
        <v>155</v>
      </c>
      <c r="E26" s="57"/>
      <c r="F26" s="57"/>
      <c r="G26" s="58"/>
      <c r="H26" s="1"/>
      <c r="I26" s="1"/>
    </row>
    <row r="27" spans="1:9" x14ac:dyDescent="0.25">
      <c r="A27" s="1"/>
      <c r="B27" s="1"/>
      <c r="C27" s="6" t="s">
        <v>137</v>
      </c>
      <c r="D27" s="56" t="s">
        <v>43</v>
      </c>
      <c r="E27" s="57"/>
      <c r="F27" s="57"/>
      <c r="G27" s="58"/>
      <c r="H27" s="1"/>
      <c r="I27" s="1"/>
    </row>
    <row r="28" spans="1:9" x14ac:dyDescent="0.25">
      <c r="A28" s="1"/>
      <c r="B28" s="1"/>
      <c r="C28" s="6" t="s">
        <v>128</v>
      </c>
      <c r="D28" s="59" t="s">
        <v>129</v>
      </c>
      <c r="E28" s="60"/>
      <c r="F28" s="60"/>
      <c r="G28" s="6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140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7" t="s">
        <v>168</v>
      </c>
      <c r="C8" s="98"/>
      <c r="D8" s="99"/>
      <c r="E8" s="1"/>
      <c r="F8" s="1"/>
    </row>
    <row r="9" spans="1:6" ht="15" customHeight="1" x14ac:dyDescent="0.25">
      <c r="A9" s="1"/>
      <c r="B9" s="41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50" t="s">
        <v>234</v>
      </c>
      <c r="C10" s="9">
        <v>6158374</v>
      </c>
      <c r="D10" s="14" t="s">
        <v>3</v>
      </c>
      <c r="E10" s="1"/>
      <c r="F10" s="1"/>
    </row>
    <row r="11" spans="1:6" ht="15" customHeight="1" x14ac:dyDescent="0.25">
      <c r="A11" s="1"/>
      <c r="B11" s="50" t="s">
        <v>235</v>
      </c>
      <c r="C11" s="9">
        <v>53139</v>
      </c>
      <c r="D11" s="14" t="s">
        <v>3</v>
      </c>
      <c r="E11" s="1"/>
      <c r="F11" s="1"/>
    </row>
    <row r="12" spans="1:6" x14ac:dyDescent="0.25">
      <c r="A12" s="1"/>
      <c r="B12" s="50" t="s">
        <v>236</v>
      </c>
      <c r="C12" s="9">
        <v>103791</v>
      </c>
      <c r="D12" s="14" t="s">
        <v>3</v>
      </c>
      <c r="E12" s="1"/>
      <c r="F12" s="1"/>
    </row>
    <row r="13" spans="1:6" x14ac:dyDescent="0.25">
      <c r="A13" s="1"/>
      <c r="B13" s="50" t="s">
        <v>237</v>
      </c>
      <c r="C13" s="9">
        <v>15390</v>
      </c>
      <c r="D13" s="14" t="s">
        <v>3</v>
      </c>
      <c r="E13" s="1"/>
      <c r="F13" s="1"/>
    </row>
    <row r="14" spans="1:6" x14ac:dyDescent="0.25">
      <c r="A14" s="1"/>
      <c r="B14" s="50" t="s">
        <v>238</v>
      </c>
      <c r="C14" s="9">
        <v>51973</v>
      </c>
      <c r="D14" s="14" t="s">
        <v>3</v>
      </c>
      <c r="E14" s="1"/>
      <c r="F14" s="1"/>
    </row>
    <row r="15" spans="1:6" x14ac:dyDescent="0.25">
      <c r="A15" s="1"/>
      <c r="B15" s="46" t="s">
        <v>169</v>
      </c>
      <c r="C15" s="12">
        <f>SUM(C10:C14)</f>
        <v>6382667</v>
      </c>
      <c r="D15" s="13" t="s">
        <v>3</v>
      </c>
      <c r="E15" s="1"/>
      <c r="F15" s="1"/>
    </row>
    <row r="16" spans="1:6" x14ac:dyDescent="0.25">
      <c r="A16" s="1"/>
      <c r="B16" s="46" t="s">
        <v>170</v>
      </c>
      <c r="C16" s="12">
        <f>C15*(1+'Fane 12. Nøgletal'!C13)^2</f>
        <v>6539354.0709562805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172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48"/>
      <c r="C5" s="48"/>
      <c r="D5" s="48"/>
      <c r="E5" s="48"/>
      <c r="F5" s="48"/>
      <c r="G5" s="1"/>
    </row>
    <row r="6" spans="1:7" ht="15" customHeight="1" x14ac:dyDescent="0.25">
      <c r="A6" s="1"/>
      <c r="B6" s="97" t="s">
        <v>39</v>
      </c>
      <c r="C6" s="98"/>
      <c r="D6" s="98"/>
      <c r="E6" s="98"/>
      <c r="F6" s="99"/>
      <c r="G6" s="1"/>
    </row>
    <row r="7" spans="1:7" ht="15" customHeight="1" x14ac:dyDescent="0.25">
      <c r="A7" s="1"/>
      <c r="B7" s="100" t="s">
        <v>37</v>
      </c>
      <c r="C7" s="101"/>
      <c r="D7" s="102"/>
      <c r="E7" s="9">
        <v>866926.77333333343</v>
      </c>
      <c r="F7" s="14" t="s">
        <v>3</v>
      </c>
      <c r="G7" s="1"/>
    </row>
    <row r="8" spans="1:7" ht="15" customHeight="1" x14ac:dyDescent="0.25">
      <c r="A8" s="1"/>
      <c r="B8" s="100" t="s">
        <v>38</v>
      </c>
      <c r="C8" s="101"/>
      <c r="D8" s="102"/>
      <c r="E8" s="9">
        <v>-109041.0741219651</v>
      </c>
      <c r="F8" s="14" t="s">
        <v>3</v>
      </c>
      <c r="G8" s="1"/>
    </row>
    <row r="9" spans="1:7" ht="15" customHeight="1" x14ac:dyDescent="0.25">
      <c r="A9" s="1"/>
      <c r="B9" s="108" t="s">
        <v>131</v>
      </c>
      <c r="C9" s="109"/>
      <c r="D9" s="110"/>
      <c r="E9" s="10">
        <f>SUM(E7:E8)</f>
        <v>757885.69921136834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0"/>
      <c r="G10" s="1"/>
    </row>
    <row r="11" spans="1:7" ht="28.5" customHeight="1" x14ac:dyDescent="0.25">
      <c r="A11" s="1"/>
      <c r="B11" s="88" t="s">
        <v>132</v>
      </c>
      <c r="C11" s="89"/>
      <c r="D11" s="89"/>
      <c r="E11" s="89"/>
      <c r="F11" s="90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7" t="s">
        <v>116</v>
      </c>
      <c r="C13" s="98"/>
      <c r="D13" s="98"/>
      <c r="E13" s="98"/>
      <c r="F13" s="99"/>
      <c r="G13" s="1"/>
    </row>
    <row r="14" spans="1:7" x14ac:dyDescent="0.25">
      <c r="A14" s="1"/>
      <c r="B14" s="100" t="s">
        <v>117</v>
      </c>
      <c r="C14" s="101"/>
      <c r="D14" s="102"/>
      <c r="E14" s="9">
        <v>12261375.369283633</v>
      </c>
      <c r="F14" s="14" t="s">
        <v>3</v>
      </c>
      <c r="G14" s="1"/>
    </row>
    <row r="15" spans="1:7" x14ac:dyDescent="0.25">
      <c r="A15" s="1"/>
      <c r="B15" s="100" t="s">
        <v>118</v>
      </c>
      <c r="C15" s="101"/>
      <c r="D15" s="102"/>
      <c r="E15" s="9">
        <v>14368354</v>
      </c>
      <c r="F15" s="14" t="s">
        <v>3</v>
      </c>
      <c r="G15" s="1"/>
    </row>
    <row r="16" spans="1:7" x14ac:dyDescent="0.25">
      <c r="A16" s="1"/>
      <c r="B16" s="100" t="s">
        <v>36</v>
      </c>
      <c r="C16" s="101"/>
      <c r="D16" s="102"/>
      <c r="E16" s="9">
        <v>0</v>
      </c>
      <c r="F16" s="14" t="s">
        <v>3</v>
      </c>
      <c r="G16" s="1"/>
    </row>
    <row r="17" spans="1:7" x14ac:dyDescent="0.25">
      <c r="A17" s="1"/>
      <c r="B17" s="108" t="s">
        <v>208</v>
      </c>
      <c r="C17" s="109"/>
      <c r="D17" s="110"/>
      <c r="E17" s="10">
        <f>E14-(E15-E16)</f>
        <v>-2106978.6307163667</v>
      </c>
      <c r="F17" s="17" t="s">
        <v>3</v>
      </c>
      <c r="G17" s="1"/>
    </row>
    <row r="18" spans="1:7" x14ac:dyDescent="0.25">
      <c r="A18" s="1"/>
      <c r="B18" s="46"/>
      <c r="C18" s="47"/>
      <c r="D18" s="47"/>
      <c r="E18" s="47"/>
      <c r="F18" s="20"/>
      <c r="G18" s="1"/>
    </row>
    <row r="19" spans="1:7" ht="30" customHeight="1" x14ac:dyDescent="0.25">
      <c r="A19" s="1"/>
      <c r="B19" s="88" t="s">
        <v>133</v>
      </c>
      <c r="C19" s="89"/>
      <c r="D19" s="89"/>
      <c r="E19" s="89"/>
      <c r="F19" s="90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7" t="s">
        <v>50</v>
      </c>
      <c r="C21" s="98"/>
      <c r="D21" s="98"/>
      <c r="E21" s="98"/>
      <c r="F21" s="99"/>
      <c r="G21" s="1"/>
    </row>
    <row r="22" spans="1:7" x14ac:dyDescent="0.25">
      <c r="A22" s="1"/>
      <c r="B22" s="100" t="s">
        <v>51</v>
      </c>
      <c r="C22" s="101"/>
      <c r="D22" s="102"/>
      <c r="E22" s="9">
        <v>13395386.680203479</v>
      </c>
      <c r="F22" s="14" t="s">
        <v>3</v>
      </c>
      <c r="G22" s="1"/>
    </row>
    <row r="23" spans="1:7" x14ac:dyDescent="0.25">
      <c r="A23" s="1"/>
      <c r="B23" s="100" t="s">
        <v>52</v>
      </c>
      <c r="C23" s="101"/>
      <c r="D23" s="102"/>
      <c r="E23" s="9">
        <v>14331518</v>
      </c>
      <c r="F23" s="14" t="s">
        <v>3</v>
      </c>
      <c r="G23" s="1"/>
    </row>
    <row r="24" spans="1:7" x14ac:dyDescent="0.25">
      <c r="A24" s="1"/>
      <c r="B24" s="100" t="s">
        <v>36</v>
      </c>
      <c r="C24" s="101"/>
      <c r="D24" s="102"/>
      <c r="E24" s="9">
        <v>124558</v>
      </c>
      <c r="F24" s="14" t="s">
        <v>3</v>
      </c>
      <c r="G24" s="1"/>
    </row>
    <row r="25" spans="1:7" x14ac:dyDescent="0.25">
      <c r="A25" s="1"/>
      <c r="B25" s="108" t="s">
        <v>209</v>
      </c>
      <c r="C25" s="109"/>
      <c r="D25" s="110"/>
      <c r="E25" s="10">
        <f>E22-(E23-E24)</f>
        <v>-811573.31979652122</v>
      </c>
      <c r="F25" s="17" t="s">
        <v>3</v>
      </c>
      <c r="G25" s="1"/>
    </row>
    <row r="26" spans="1:7" x14ac:dyDescent="0.25">
      <c r="A26" s="1"/>
      <c r="B26" s="46"/>
      <c r="C26" s="47"/>
      <c r="D26" s="47"/>
      <c r="E26" s="47"/>
      <c r="F26" s="20"/>
      <c r="G26" s="1"/>
    </row>
    <row r="27" spans="1:7" ht="28.5" customHeight="1" x14ac:dyDescent="0.25">
      <c r="A27" s="1"/>
      <c r="B27" s="88" t="s">
        <v>179</v>
      </c>
      <c r="C27" s="89"/>
      <c r="D27" s="89"/>
      <c r="E27" s="89"/>
      <c r="F27" s="90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7" t="s">
        <v>200</v>
      </c>
      <c r="C29" s="98"/>
      <c r="D29" s="98"/>
      <c r="E29" s="98"/>
      <c r="F29" s="99"/>
      <c r="G29" s="1"/>
    </row>
    <row r="30" spans="1:7" x14ac:dyDescent="0.25">
      <c r="A30" s="1"/>
      <c r="B30" s="100" t="s">
        <v>201</v>
      </c>
      <c r="C30" s="101"/>
      <c r="D30" s="102"/>
      <c r="E30" s="9">
        <v>13339096.617482951</v>
      </c>
      <c r="F30" s="14" t="s">
        <v>3</v>
      </c>
      <c r="G30" s="1"/>
    </row>
    <row r="31" spans="1:7" x14ac:dyDescent="0.25">
      <c r="A31" s="1"/>
      <c r="B31" s="100" t="s">
        <v>202</v>
      </c>
      <c r="C31" s="101"/>
      <c r="D31" s="102"/>
      <c r="E31" s="9">
        <v>14587877</v>
      </c>
      <c r="F31" s="14" t="s">
        <v>3</v>
      </c>
      <c r="G31" s="1"/>
    </row>
    <row r="32" spans="1:7" x14ac:dyDescent="0.25">
      <c r="A32" s="1"/>
      <c r="B32" s="100" t="s">
        <v>36</v>
      </c>
      <c r="C32" s="101"/>
      <c r="D32" s="102"/>
      <c r="E32" s="9">
        <v>0</v>
      </c>
      <c r="F32" s="14" t="s">
        <v>3</v>
      </c>
      <c r="G32" s="1"/>
    </row>
    <row r="33" spans="1:7" x14ac:dyDescent="0.25">
      <c r="A33" s="1"/>
      <c r="B33" s="108" t="s">
        <v>210</v>
      </c>
      <c r="C33" s="109"/>
      <c r="D33" s="110"/>
      <c r="E33" s="10">
        <f>E30-(E31-E32)</f>
        <v>-1248780.3825170491</v>
      </c>
      <c r="F33" s="17" t="s">
        <v>3</v>
      </c>
      <c r="G33" s="1"/>
    </row>
    <row r="34" spans="1:7" x14ac:dyDescent="0.25">
      <c r="A34" s="1"/>
      <c r="B34" s="46"/>
      <c r="C34" s="47"/>
      <c r="D34" s="47"/>
      <c r="E34" s="47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7" t="s">
        <v>125</v>
      </c>
      <c r="C36" s="98"/>
      <c r="D36" s="98"/>
      <c r="E36" s="98"/>
      <c r="F36" s="99"/>
      <c r="G36" s="1"/>
    </row>
    <row r="37" spans="1:7" x14ac:dyDescent="0.25">
      <c r="A37" s="1"/>
      <c r="B37" s="111" t="s">
        <v>248</v>
      </c>
      <c r="C37" s="112"/>
      <c r="D37" s="113"/>
      <c r="E37" s="9">
        <v>0</v>
      </c>
      <c r="F37" s="14"/>
      <c r="G37" s="1"/>
    </row>
    <row r="38" spans="1:7" x14ac:dyDescent="0.25">
      <c r="A38" s="1"/>
      <c r="B38" s="111" t="s">
        <v>249</v>
      </c>
      <c r="C38" s="112"/>
      <c r="D38" s="113"/>
      <c r="E38" s="9">
        <v>0</v>
      </c>
      <c r="F38" s="14"/>
      <c r="G38" s="1"/>
    </row>
    <row r="39" spans="1:7" x14ac:dyDescent="0.25">
      <c r="A39" s="1"/>
      <c r="B39" s="111" t="s">
        <v>113</v>
      </c>
      <c r="C39" s="112"/>
      <c r="D39" s="113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-2060353.7023135703</v>
      </c>
      <c r="F39" s="14" t="s">
        <v>3</v>
      </c>
      <c r="G39" s="1"/>
    </row>
    <row r="40" spans="1:7" x14ac:dyDescent="0.25">
      <c r="A40" s="1"/>
      <c r="B40" s="111" t="s">
        <v>130</v>
      </c>
      <c r="C40" s="112"/>
      <c r="D40" s="113"/>
      <c r="E40" s="9">
        <v>2</v>
      </c>
      <c r="F40" s="14" t="s">
        <v>19</v>
      </c>
      <c r="G40" s="1"/>
    </row>
    <row r="41" spans="1:7" ht="15" customHeight="1" x14ac:dyDescent="0.25">
      <c r="A41" s="1"/>
      <c r="B41" s="114" t="s">
        <v>203</v>
      </c>
      <c r="C41" s="114"/>
      <c r="D41" s="114"/>
      <c r="E41" s="10">
        <f>E39/E40</f>
        <v>-1030176.8511567852</v>
      </c>
      <c r="F41" s="17" t="s">
        <v>3</v>
      </c>
      <c r="G41" s="1"/>
    </row>
    <row r="42" spans="1:7" x14ac:dyDescent="0.25">
      <c r="A42" s="1"/>
      <c r="B42" s="97"/>
      <c r="C42" s="98"/>
      <c r="D42" s="98"/>
      <c r="E42" s="98"/>
      <c r="F42" s="99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216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197</v>
      </c>
      <c r="C8" s="98"/>
      <c r="D8" s="98"/>
      <c r="E8" s="98"/>
      <c r="F8" s="98"/>
      <c r="G8" s="98"/>
      <c r="H8" s="99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25">
      <c r="A10" s="1"/>
      <c r="B10" s="53" t="s">
        <v>247</v>
      </c>
      <c r="C10" s="54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97" t="s">
        <v>198</v>
      </c>
      <c r="C11" s="98"/>
      <c r="D11" s="99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215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94</v>
      </c>
      <c r="C8" s="47"/>
      <c r="D8" s="47"/>
      <c r="E8" s="47"/>
      <c r="F8" s="20"/>
      <c r="G8" s="1"/>
    </row>
    <row r="9" spans="1:7" ht="17.25" customHeight="1" x14ac:dyDescent="0.25">
      <c r="A9" s="1"/>
      <c r="B9" s="44" t="s">
        <v>16</v>
      </c>
      <c r="C9" s="44" t="s">
        <v>11</v>
      </c>
      <c r="D9" s="45"/>
      <c r="E9" s="44" t="s">
        <v>34</v>
      </c>
      <c r="F9" s="43"/>
      <c r="G9" s="1"/>
    </row>
    <row r="10" spans="1:7" x14ac:dyDescent="0.2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ht="26.25" x14ac:dyDescent="0.25">
      <c r="A11" s="1"/>
      <c r="B11" s="39" t="s">
        <v>242</v>
      </c>
      <c r="C11" s="22">
        <v>240457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55" t="s">
        <v>243</v>
      </c>
      <c r="C12" s="22">
        <v>70425</v>
      </c>
      <c r="D12" s="14" t="s">
        <v>3</v>
      </c>
      <c r="E12" s="9">
        <v>7137</v>
      </c>
      <c r="F12" s="14" t="s">
        <v>3</v>
      </c>
      <c r="G12" s="1"/>
    </row>
    <row r="13" spans="1:7" x14ac:dyDescent="0.25">
      <c r="A13" s="1"/>
      <c r="B13" s="25" t="s">
        <v>244</v>
      </c>
      <c r="C13" s="22">
        <v>28300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46" t="s">
        <v>48</v>
      </c>
      <c r="C14" s="12">
        <f>SUM(C10:C13)</f>
        <v>339182</v>
      </c>
      <c r="D14" s="13" t="s">
        <v>3</v>
      </c>
      <c r="E14" s="12">
        <f>SUM(E10:E13)</f>
        <v>7137</v>
      </c>
      <c r="F14" s="13" t="s">
        <v>3</v>
      </c>
      <c r="G14" s="1"/>
    </row>
    <row r="15" spans="1:7" x14ac:dyDescent="0.25">
      <c r="A15" s="1"/>
      <c r="B15" s="46" t="s">
        <v>173</v>
      </c>
      <c r="C15" s="12">
        <f>C14*(1+'Fane 12. Nøgletal'!C13)</f>
        <v>343320.02039999998</v>
      </c>
      <c r="D15" s="13" t="s">
        <v>3</v>
      </c>
      <c r="E15" s="12">
        <f>E14*(1+'Fane 12. Nøgletal'!C13)</f>
        <v>7224.0713999999998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TBmkT8AzgTvjVgJdQq2Oh0jm5W+j/I+00A8IIxAk+TsSDE88J3NfdG3396cTDmuaqnXlQaYFLwfSLAfAp+l1CQ==" saltValue="S+4zadrx7tzY6nUW8VYhp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214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119</v>
      </c>
      <c r="C8" s="98"/>
      <c r="D8" s="98"/>
      <c r="E8" s="98"/>
      <c r="F8" s="99"/>
      <c r="G8" s="1"/>
    </row>
    <row r="9" spans="1:7" x14ac:dyDescent="0.25">
      <c r="A9" s="1"/>
      <c r="B9" s="44" t="s">
        <v>16</v>
      </c>
      <c r="C9" s="44" t="s">
        <v>11</v>
      </c>
      <c r="D9" s="45"/>
      <c r="E9" s="44" t="s">
        <v>34</v>
      </c>
      <c r="F9" s="43"/>
      <c r="G9" s="1"/>
    </row>
    <row r="10" spans="1:7" ht="26.25" x14ac:dyDescent="0.25">
      <c r="A10" s="1"/>
      <c r="B10" s="39" t="s">
        <v>242</v>
      </c>
      <c r="C10" s="22">
        <v>27881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245</v>
      </c>
      <c r="C11" s="22">
        <v>141500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46" t="s">
        <v>174</v>
      </c>
      <c r="C12" s="12">
        <f>SUM(C10:C11)</f>
        <v>169381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25">
      <c r="A13" s="1"/>
      <c r="B13" s="27" t="s">
        <v>9</v>
      </c>
      <c r="C13" s="28">
        <f>-C12*'Fane 5. Individuelt eff. krav'!G10</f>
        <v>-67.44761965484156</v>
      </c>
      <c r="D13" s="29" t="s">
        <v>3</v>
      </c>
      <c r="E13" s="28">
        <f>-E12*'Fane 5. Individuelt eff. krav'!G10</f>
        <v>0</v>
      </c>
      <c r="F13" s="29" t="s">
        <v>3</v>
      </c>
      <c r="G13" s="1"/>
    </row>
    <row r="14" spans="1:7" x14ac:dyDescent="0.25">
      <c r="A14" s="1"/>
      <c r="B14" s="27" t="s">
        <v>123</v>
      </c>
      <c r="C14" s="28">
        <f>-C12*'Fane 12. Nøgletal'!C27</f>
        <v>-3387.62</v>
      </c>
      <c r="D14" s="29" t="s">
        <v>3</v>
      </c>
      <c r="E14" s="28">
        <f>-E12*'Fane 12. Nøgletal'!C22</f>
        <v>0</v>
      </c>
      <c r="F14" s="29" t="s">
        <v>3</v>
      </c>
      <c r="G14" s="1"/>
    </row>
    <row r="15" spans="1:7" x14ac:dyDescent="0.25">
      <c r="A15" s="1"/>
      <c r="B15" s="46" t="s">
        <v>122</v>
      </c>
      <c r="C15" s="12">
        <f>SUM(C12:C14)*(1+'Fane 12. Nøgletal'!C13)^2</f>
        <v>169999.22154620106</v>
      </c>
      <c r="D15" s="13" t="s">
        <v>3</v>
      </c>
      <c r="E15" s="12">
        <f>SUM(E12:E14)*(1+'Fane 12. Nøgletal'!C13)^2</f>
        <v>0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7" t="s">
        <v>120</v>
      </c>
      <c r="C17" s="98"/>
      <c r="D17" s="98"/>
      <c r="E17" s="98"/>
      <c r="F17" s="99"/>
      <c r="G17" s="1"/>
    </row>
    <row r="18" spans="1:7" x14ac:dyDescent="0.25">
      <c r="A18" s="1"/>
      <c r="B18" s="44" t="s">
        <v>16</v>
      </c>
      <c r="C18" s="44" t="s">
        <v>11</v>
      </c>
      <c r="D18" s="45"/>
      <c r="E18" s="44" t="s">
        <v>34</v>
      </c>
      <c r="F18" s="43"/>
      <c r="G18" s="1"/>
    </row>
    <row r="19" spans="1:7" x14ac:dyDescent="0.25">
      <c r="A19" s="1"/>
      <c r="B19" s="25" t="s">
        <v>246</v>
      </c>
      <c r="C19" s="22">
        <v>0</v>
      </c>
      <c r="D19" s="14" t="s">
        <v>3</v>
      </c>
      <c r="E19" s="9">
        <v>0</v>
      </c>
      <c r="F19" s="14" t="s">
        <v>3</v>
      </c>
      <c r="G19" s="1"/>
    </row>
    <row r="20" spans="1:7" x14ac:dyDescent="0.25">
      <c r="A20" s="1"/>
      <c r="B20" s="46" t="s">
        <v>174</v>
      </c>
      <c r="C20" s="12">
        <f>SUM(C19:C19)</f>
        <v>0</v>
      </c>
      <c r="D20" s="13" t="s">
        <v>3</v>
      </c>
      <c r="E20" s="12">
        <f>SUM(E19:E19)</f>
        <v>0</v>
      </c>
      <c r="F20" s="13" t="s">
        <v>3</v>
      </c>
      <c r="G20" s="1"/>
    </row>
    <row r="21" spans="1:7" x14ac:dyDescent="0.25">
      <c r="A21" s="1"/>
      <c r="B21" s="27" t="s">
        <v>9</v>
      </c>
      <c r="C21" s="28">
        <f>-C20*'Fane 5. Individuelt eff. krav'!G10</f>
        <v>0</v>
      </c>
      <c r="D21" s="29" t="s">
        <v>3</v>
      </c>
      <c r="E21" s="28">
        <f>-E20*'Fane 5. Individuelt eff. krav'!G10</f>
        <v>0</v>
      </c>
      <c r="F21" s="29" t="s">
        <v>3</v>
      </c>
      <c r="G21" s="1"/>
    </row>
    <row r="22" spans="1:7" x14ac:dyDescent="0.25">
      <c r="A22" s="1"/>
      <c r="B22" s="27" t="s">
        <v>123</v>
      </c>
      <c r="C22" s="28">
        <f>-C20*'Fane 12. Nøgletal'!C27</f>
        <v>0</v>
      </c>
      <c r="D22" s="29" t="s">
        <v>3</v>
      </c>
      <c r="E22" s="28">
        <f>-E20*'Fane 12. Nøgletal'!C22</f>
        <v>0</v>
      </c>
      <c r="F22" s="29" t="s">
        <v>3</v>
      </c>
      <c r="G22" s="1"/>
    </row>
    <row r="23" spans="1:7" x14ac:dyDescent="0.25">
      <c r="A23" s="1"/>
      <c r="B23" s="46" t="s">
        <v>175</v>
      </c>
      <c r="C23" s="12">
        <f>SUM(C20:C22)*(1+'Fane 12. Nøgletal'!C13)^3</f>
        <v>0</v>
      </c>
      <c r="D23" s="13" t="s">
        <v>3</v>
      </c>
      <c r="E23" s="12">
        <f>SUM(E20:E22)*(1+'Fane 12. Nøgletal'!C13)^3</f>
        <v>0</v>
      </c>
      <c r="F23" s="13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7" t="s">
        <v>121</v>
      </c>
      <c r="C25" s="98"/>
      <c r="D25" s="98"/>
      <c r="E25" s="98"/>
      <c r="F25" s="99"/>
      <c r="G25" s="1"/>
    </row>
    <row r="26" spans="1:7" x14ac:dyDescent="0.25">
      <c r="A26" s="1"/>
      <c r="B26" s="44" t="s">
        <v>16</v>
      </c>
      <c r="C26" s="44" t="s">
        <v>11</v>
      </c>
      <c r="D26" s="45"/>
      <c r="E26" s="44" t="s">
        <v>34</v>
      </c>
      <c r="F26" s="43"/>
      <c r="G26" s="1"/>
    </row>
    <row r="27" spans="1:7" x14ac:dyDescent="0.25">
      <c r="A27" s="1"/>
      <c r="B27" s="25" t="s">
        <v>246</v>
      </c>
      <c r="C27" s="22">
        <v>0</v>
      </c>
      <c r="D27" s="14" t="s">
        <v>3</v>
      </c>
      <c r="E27" s="9">
        <v>0</v>
      </c>
      <c r="F27" s="14" t="s">
        <v>3</v>
      </c>
      <c r="G27" s="1"/>
    </row>
    <row r="28" spans="1:7" x14ac:dyDescent="0.25">
      <c r="A28" s="1"/>
      <c r="B28" s="46" t="s">
        <v>174</v>
      </c>
      <c r="C28" s="12">
        <f>SUM(C27:C27)</f>
        <v>0</v>
      </c>
      <c r="D28" s="13" t="s">
        <v>3</v>
      </c>
      <c r="E28" s="12">
        <f>SUM(E27:E27)</f>
        <v>0</v>
      </c>
      <c r="F28" s="13" t="s">
        <v>3</v>
      </c>
      <c r="G28" s="1"/>
    </row>
    <row r="29" spans="1:7" x14ac:dyDescent="0.25">
      <c r="A29" s="1"/>
      <c r="B29" s="27" t="s">
        <v>9</v>
      </c>
      <c r="C29" s="28">
        <f>-C28*'Fane 5. Individuelt eff. krav'!G10</f>
        <v>0</v>
      </c>
      <c r="D29" s="29" t="s">
        <v>3</v>
      </c>
      <c r="E29" s="28">
        <f>-E28*'Fane 5. Individuelt eff. krav'!G10</f>
        <v>0</v>
      </c>
      <c r="F29" s="29" t="s">
        <v>3</v>
      </c>
      <c r="G29" s="1"/>
    </row>
    <row r="30" spans="1:7" x14ac:dyDescent="0.25">
      <c r="A30" s="1"/>
      <c r="B30" s="27" t="s">
        <v>123</v>
      </c>
      <c r="C30" s="28">
        <f>-C28*'Fane 12. Nøgletal'!C27</f>
        <v>0</v>
      </c>
      <c r="D30" s="29" t="s">
        <v>3</v>
      </c>
      <c r="E30" s="28">
        <f>-E28*'Fane 12. Nøgletal'!C22</f>
        <v>0</v>
      </c>
      <c r="F30" s="29" t="s">
        <v>3</v>
      </c>
      <c r="G30" s="1"/>
    </row>
    <row r="31" spans="1:7" x14ac:dyDescent="0.25">
      <c r="A31" s="1"/>
      <c r="B31" s="46" t="s">
        <v>184</v>
      </c>
      <c r="C31" s="12">
        <f>SUM(C28:C30)*(1+'Fane 12. Nøgletal'!C13)^4</f>
        <v>0</v>
      </c>
      <c r="D31" s="13" t="s">
        <v>3</v>
      </c>
      <c r="E31" s="12">
        <f>SUM(E28:E30)*(1+'Fane 12. Nøgletal'!C13)^4</f>
        <v>0</v>
      </c>
      <c r="F31" s="13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97" t="s">
        <v>176</v>
      </c>
      <c r="C33" s="98"/>
      <c r="D33" s="98"/>
      <c r="E33" s="98"/>
      <c r="F33" s="99"/>
      <c r="G33" s="1"/>
    </row>
    <row r="34" spans="1:7" x14ac:dyDescent="0.25">
      <c r="A34" s="1"/>
      <c r="B34" s="44" t="s">
        <v>16</v>
      </c>
      <c r="C34" s="44" t="s">
        <v>11</v>
      </c>
      <c r="D34" s="45"/>
      <c r="E34" s="44" t="s">
        <v>34</v>
      </c>
      <c r="F34" s="43"/>
      <c r="G34" s="1"/>
    </row>
    <row r="35" spans="1:7" x14ac:dyDescent="0.25">
      <c r="A35" s="1"/>
      <c r="B35" s="25" t="s">
        <v>246</v>
      </c>
      <c r="C35" s="22">
        <v>0</v>
      </c>
      <c r="D35" s="14" t="s">
        <v>3</v>
      </c>
      <c r="E35" s="9">
        <v>0</v>
      </c>
      <c r="F35" s="14" t="s">
        <v>3</v>
      </c>
      <c r="G35" s="1"/>
    </row>
    <row r="36" spans="1:7" x14ac:dyDescent="0.25">
      <c r="A36" s="1"/>
      <c r="B36" s="46" t="s">
        <v>174</v>
      </c>
      <c r="C36" s="12">
        <f>SUM(C35:C35)</f>
        <v>0</v>
      </c>
      <c r="D36" s="13" t="s">
        <v>3</v>
      </c>
      <c r="E36" s="12">
        <f>SUM(E35:E35)</f>
        <v>0</v>
      </c>
      <c r="F36" s="13" t="s">
        <v>3</v>
      </c>
      <c r="G36" s="1"/>
    </row>
    <row r="37" spans="1:7" x14ac:dyDescent="0.25">
      <c r="A37" s="1"/>
      <c r="B37" s="27" t="s">
        <v>9</v>
      </c>
      <c r="C37" s="28">
        <f>-C36*'Fane 5. Individuelt eff. krav'!G10</f>
        <v>0</v>
      </c>
      <c r="D37" s="29" t="s">
        <v>3</v>
      </c>
      <c r="E37" s="28">
        <f>-E36*'Fane 5. Individuelt eff. krav'!G10</f>
        <v>0</v>
      </c>
      <c r="F37" s="29" t="s">
        <v>3</v>
      </c>
      <c r="G37" s="1"/>
    </row>
    <row r="38" spans="1:7" x14ac:dyDescent="0.25">
      <c r="A38" s="1"/>
      <c r="B38" s="27" t="s">
        <v>123</v>
      </c>
      <c r="C38" s="28">
        <f>-C36*'Fane 12. Nøgletal'!C27</f>
        <v>0</v>
      </c>
      <c r="D38" s="29" t="s">
        <v>3</v>
      </c>
      <c r="E38" s="28">
        <f>-E36*'Fane 12. Nøgletal'!C22</f>
        <v>0</v>
      </c>
      <c r="F38" s="29" t="s">
        <v>3</v>
      </c>
      <c r="G38" s="1"/>
    </row>
    <row r="39" spans="1:7" x14ac:dyDescent="0.25">
      <c r="A39" s="1"/>
      <c r="B39" s="46" t="s">
        <v>185</v>
      </c>
      <c r="C39" s="12">
        <f>SUM(C36:C38)*(1+'Fane 12. Nøgletal'!C13)^5</f>
        <v>0</v>
      </c>
      <c r="D39" s="13" t="s">
        <v>3</v>
      </c>
      <c r="E39" s="12">
        <f>SUM(E36:E38)*(1+'Fane 12. Nøgletal'!C13)^5</f>
        <v>0</v>
      </c>
      <c r="F39" s="13" t="s">
        <v>3</v>
      </c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ZQnUR3Mj52dkAXbEl8UZ3irNNkxuAce8LKd3PcaEwpSBjaJ8OCTO0pclKR5eOAup8R3ZylzDNrRdOJiId3b0aA==" saltValue="TUeR/55qz8MWlRpU2ieGoA==" spinCount="100000" sheet="1" objects="1" scenarios="1"/>
  <mergeCells count="5">
    <mergeCell ref="B3:F4"/>
    <mergeCell ref="B8:F8"/>
    <mergeCell ref="B17:F17"/>
    <mergeCell ref="B25:F25"/>
    <mergeCell ref="B33:F3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213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156</v>
      </c>
      <c r="C8" s="98"/>
      <c r="D8" s="98"/>
      <c r="E8" s="98"/>
      <c r="F8" s="99"/>
      <c r="G8" s="1"/>
    </row>
    <row r="9" spans="1:7" ht="15" customHeight="1" x14ac:dyDescent="0.25">
      <c r="A9" s="1"/>
      <c r="B9" s="42" t="s">
        <v>157</v>
      </c>
      <c r="C9" s="94" t="s">
        <v>11</v>
      </c>
      <c r="D9" s="96"/>
      <c r="E9" s="94" t="s">
        <v>34</v>
      </c>
      <c r="F9" s="96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212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111</v>
      </c>
      <c r="C8" s="98"/>
      <c r="D8" s="98"/>
      <c r="E8" s="98"/>
      <c r="F8" s="99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2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7" t="s">
        <v>110</v>
      </c>
      <c r="C15" s="98"/>
      <c r="D15" s="98"/>
      <c r="E15" s="98"/>
      <c r="F15" s="99"/>
      <c r="G15" s="1"/>
    </row>
    <row r="16" spans="1:7" ht="26.25" x14ac:dyDescent="0.2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2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7" t="s">
        <v>112</v>
      </c>
      <c r="C22" s="98"/>
      <c r="D22" s="98"/>
      <c r="E22" s="98"/>
      <c r="F22" s="99"/>
      <c r="G22" s="1"/>
    </row>
    <row r="23" spans="1:7" ht="26.25" x14ac:dyDescent="0.2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2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7" t="s">
        <v>182</v>
      </c>
      <c r="C29" s="98"/>
      <c r="D29" s="98"/>
      <c r="E29" s="98"/>
      <c r="F29" s="99"/>
      <c r="G29" s="1"/>
    </row>
    <row r="30" spans="1:7" ht="26.25" x14ac:dyDescent="0.2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2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211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14</v>
      </c>
      <c r="C8" s="20"/>
      <c r="D8" s="1"/>
    </row>
    <row r="9" spans="1:4" x14ac:dyDescent="0.25">
      <c r="A9" s="1"/>
      <c r="B9" s="50" t="s">
        <v>141</v>
      </c>
      <c r="C9" s="26">
        <v>1.2699999999999999E-2</v>
      </c>
      <c r="D9" s="1"/>
    </row>
    <row r="10" spans="1:4" x14ac:dyDescent="0.25">
      <c r="A10" s="1"/>
      <c r="B10" s="50" t="s">
        <v>22</v>
      </c>
      <c r="C10" s="26">
        <v>1.7500000000000002E-2</v>
      </c>
      <c r="D10" s="1"/>
    </row>
    <row r="11" spans="1:4" x14ac:dyDescent="0.25">
      <c r="A11" s="1"/>
      <c r="B11" s="50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7"/>
      <c r="C14" s="99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6" t="s">
        <v>126</v>
      </c>
      <c r="C17" s="20"/>
      <c r="D17" s="1"/>
    </row>
    <row r="18" spans="1:4" x14ac:dyDescent="0.25">
      <c r="A18" s="1"/>
      <c r="B18" s="50" t="s">
        <v>143</v>
      </c>
      <c r="C18" s="23">
        <v>9.1000000000000004E-3</v>
      </c>
      <c r="D18" s="1"/>
    </row>
    <row r="19" spans="1:4" x14ac:dyDescent="0.25">
      <c r="A19" s="1"/>
      <c r="B19" s="50" t="s">
        <v>144</v>
      </c>
      <c r="C19" s="23">
        <v>1.77E-2</v>
      </c>
      <c r="D19" s="1"/>
    </row>
    <row r="20" spans="1:4" x14ac:dyDescent="0.25">
      <c r="A20" s="1"/>
      <c r="B20" s="50" t="s">
        <v>145</v>
      </c>
      <c r="C20" s="23">
        <v>8.6999999999999994E-3</v>
      </c>
      <c r="D20" s="1"/>
    </row>
    <row r="21" spans="1:4" x14ac:dyDescent="0.25">
      <c r="A21" s="1"/>
      <c r="B21" s="50" t="s">
        <v>146</v>
      </c>
      <c r="C21" s="36">
        <v>2.8400000000000002E-2</v>
      </c>
      <c r="D21" s="1"/>
    </row>
    <row r="22" spans="1:4" x14ac:dyDescent="0.25">
      <c r="A22" s="1"/>
      <c r="B22" s="50" t="s">
        <v>186</v>
      </c>
      <c r="C22" s="36">
        <v>2.75E-2</v>
      </c>
      <c r="D22" s="1"/>
    </row>
    <row r="23" spans="1:4" x14ac:dyDescent="0.25">
      <c r="A23" s="1"/>
      <c r="B23" s="46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6" t="s">
        <v>127</v>
      </c>
      <c r="C26" s="20"/>
      <c r="D26" s="1"/>
    </row>
    <row r="27" spans="1:4" x14ac:dyDescent="0.25">
      <c r="A27" s="1"/>
      <c r="B27" s="50" t="s">
        <v>147</v>
      </c>
      <c r="C27" s="26">
        <v>0.02</v>
      </c>
      <c r="D27" s="1"/>
    </row>
    <row r="28" spans="1:4" x14ac:dyDescent="0.25">
      <c r="A28" s="1"/>
      <c r="B28" s="46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161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13</v>
      </c>
      <c r="C8" s="47"/>
      <c r="D8" s="20"/>
      <c r="E8" s="1"/>
    </row>
    <row r="9" spans="1:5" x14ac:dyDescent="0.25">
      <c r="A9" s="1"/>
      <c r="B9" s="49" t="s">
        <v>25</v>
      </c>
      <c r="C9" s="7">
        <f>'Fane 3. Omkostninger i ØR2020'!E20</f>
        <v>9330929.4976090342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tillæg'!C15</f>
        <v>343320.02039999998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tillæg'!E15</f>
        <v>7224.0713999999998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118113.97779079023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-3902.2018703798408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-80355.951978803496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-167478.61712913896</v>
      </c>
      <c r="D19" s="8" t="s">
        <v>3</v>
      </c>
      <c r="E19" s="1"/>
    </row>
    <row r="20" spans="1:5" ht="17.100000000000001" customHeight="1" x14ac:dyDescent="0.25">
      <c r="A20" s="1"/>
      <c r="B20" s="51" t="s">
        <v>20</v>
      </c>
      <c r="C20" s="10">
        <f>SUM(C9:C19)</f>
        <v>9547850.7962215021</v>
      </c>
      <c r="D20" s="11" t="s">
        <v>3</v>
      </c>
      <c r="E20" s="1"/>
    </row>
    <row r="21" spans="1:5" ht="15" customHeight="1" x14ac:dyDescent="0.25">
      <c r="A21" s="1"/>
      <c r="B21" s="46" t="s">
        <v>12</v>
      </c>
      <c r="C21" s="47"/>
      <c r="D21" s="20"/>
      <c r="E21" s="1"/>
    </row>
    <row r="22" spans="1:5" ht="15" customHeight="1" x14ac:dyDescent="0.25">
      <c r="A22" s="1"/>
      <c r="B22" s="42" t="s">
        <v>12</v>
      </c>
      <c r="C22" s="10">
        <f>'Fane 6. Ikke-påvirkelige omk.'!C16</f>
        <v>6539354.0709562805</v>
      </c>
      <c r="D22" s="11" t="s">
        <v>3</v>
      </c>
      <c r="E22" s="1"/>
    </row>
    <row r="23" spans="1:5" ht="15" customHeight="1" x14ac:dyDescent="0.25">
      <c r="A23" s="1"/>
      <c r="B23" s="46" t="s">
        <v>99</v>
      </c>
      <c r="C23" s="47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Engangstillæg'!C15</f>
        <v>169999.22154620106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Engangstillæg'!E15</f>
        <v>0</v>
      </c>
      <c r="D25" s="8" t="s">
        <v>3</v>
      </c>
      <c r="E25" s="1"/>
    </row>
    <row r="26" spans="1:5" x14ac:dyDescent="0.25">
      <c r="A26" s="1"/>
      <c r="B26" s="51" t="s">
        <v>100</v>
      </c>
      <c r="C26" s="10">
        <f>SUM(C24:C25)</f>
        <v>169999.22154620106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7"/>
      <c r="D27" s="20"/>
      <c r="E27" s="1"/>
    </row>
    <row r="28" spans="1:5" x14ac:dyDescent="0.25">
      <c r="A28" s="1"/>
      <c r="B28" s="52" t="s">
        <v>205</v>
      </c>
      <c r="C28" s="10">
        <f>'Fane 7. Kontrol af ØR2019'!E41</f>
        <v>-1030176.8511567852</v>
      </c>
      <c r="D28" s="11" t="s">
        <v>3</v>
      </c>
      <c r="E28" s="1"/>
    </row>
    <row r="29" spans="1:5" x14ac:dyDescent="0.25">
      <c r="A29" s="1"/>
      <c r="B29" s="46" t="s">
        <v>31</v>
      </c>
      <c r="C29" s="32">
        <f>SUM(C20,C22,C26,C28)</f>
        <v>15227027.237567198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162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/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13</v>
      </c>
      <c r="C8" s="47"/>
      <c r="D8" s="20"/>
      <c r="E8" s="1"/>
    </row>
    <row r="9" spans="1:5" ht="15" customHeight="1" x14ac:dyDescent="0.25">
      <c r="A9" s="1"/>
      <c r="B9" s="49" t="s">
        <v>26</v>
      </c>
      <c r="C9" s="7">
        <f>'Fane 2.1. Økonomisk ramme 2021'!C20</f>
        <v>9547850.7962215021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0" t="s">
        <v>18</v>
      </c>
      <c r="C12" s="9">
        <f>SUM(C9:C11)*'Fane 12. Nøgletal'!C13</f>
        <v>116483.77971390233</v>
      </c>
      <c r="D12" s="8" t="s">
        <v>3</v>
      </c>
      <c r="E12" s="1"/>
    </row>
    <row r="13" spans="1:5" ht="15" customHeight="1" x14ac:dyDescent="0.25">
      <c r="A13" s="1"/>
      <c r="B13" s="40" t="s">
        <v>9</v>
      </c>
      <c r="C13" s="9">
        <f>-SUM(C9:C12)*'Fane 5. Individuelt eff. krav'!G10</f>
        <v>-3848.3440450512494</v>
      </c>
      <c r="D13" s="8" t="s">
        <v>3</v>
      </c>
      <c r="E13" s="1"/>
    </row>
    <row r="14" spans="1:5" ht="15" customHeight="1" x14ac:dyDescent="0.25">
      <c r="A14" s="1"/>
      <c r="B14" s="40" t="s">
        <v>27</v>
      </c>
      <c r="C14" s="9">
        <f>-'Fane 4.1. Gen. krav - drift'!G37</f>
        <v>-79709.568701085984</v>
      </c>
      <c r="D14" s="8" t="s">
        <v>3</v>
      </c>
      <c r="E14" s="1"/>
    </row>
    <row r="15" spans="1:5" ht="15" customHeight="1" x14ac:dyDescent="0.25">
      <c r="A15" s="1"/>
      <c r="B15" s="40" t="s">
        <v>28</v>
      </c>
      <c r="C15" s="9">
        <f>-'Fane 4.2. Gen. krav - anlæg'!G37</f>
        <v>-164860.00521101634</v>
      </c>
      <c r="D15" s="8" t="s">
        <v>3</v>
      </c>
      <c r="E15" s="1"/>
    </row>
    <row r="16" spans="1:5" ht="15" customHeight="1" x14ac:dyDescent="0.25">
      <c r="A16" s="1"/>
      <c r="B16" s="41" t="s">
        <v>20</v>
      </c>
      <c r="C16" s="10">
        <f>SUM(C9:C15)</f>
        <v>9415916.6579782516</v>
      </c>
      <c r="D16" s="11" t="s">
        <v>3</v>
      </c>
      <c r="E16" s="1"/>
    </row>
    <row r="17" spans="1:5" x14ac:dyDescent="0.25">
      <c r="A17" s="1"/>
      <c r="B17" s="46" t="s">
        <v>12</v>
      </c>
      <c r="C17" s="47"/>
      <c r="D17" s="20"/>
      <c r="E17" s="1"/>
    </row>
    <row r="18" spans="1:5" ht="15" customHeight="1" x14ac:dyDescent="0.25">
      <c r="A18" s="1"/>
      <c r="B18" s="42" t="s">
        <v>12</v>
      </c>
      <c r="C18" s="10">
        <f>'Fane 6. Ikke-påvirkelige omk.'!C16*(1+'Fane 12. Nøgletal'!C13)</f>
        <v>6619134.1906219469</v>
      </c>
      <c r="D18" s="11" t="s">
        <v>3</v>
      </c>
      <c r="E18" s="1"/>
    </row>
    <row r="19" spans="1:5" ht="15" customHeight="1" x14ac:dyDescent="0.25">
      <c r="A19" s="1"/>
      <c r="B19" s="46" t="s">
        <v>99</v>
      </c>
      <c r="C19" s="47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Engangstillæg'!C23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Engangstillæg'!E23</f>
        <v>0</v>
      </c>
      <c r="D21" s="8" t="s">
        <v>3</v>
      </c>
      <c r="E21" s="1"/>
    </row>
    <row r="22" spans="1:5" ht="15" customHeight="1" x14ac:dyDescent="0.25">
      <c r="A22" s="1"/>
      <c r="B22" s="51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7"/>
      <c r="D23" s="20"/>
      <c r="E23" s="1"/>
    </row>
    <row r="24" spans="1:5" ht="15" customHeight="1" x14ac:dyDescent="0.25">
      <c r="A24" s="1"/>
      <c r="B24" s="52" t="s">
        <v>205</v>
      </c>
      <c r="C24" s="10">
        <f>'Fane 7. Kontrol af ØR2019'!E41</f>
        <v>-1030176.8511567852</v>
      </c>
      <c r="D24" s="11" t="s">
        <v>3</v>
      </c>
      <c r="E24" s="1"/>
    </row>
    <row r="25" spans="1:5" x14ac:dyDescent="0.25">
      <c r="A25" s="1"/>
      <c r="B25" s="46" t="s">
        <v>32</v>
      </c>
      <c r="C25" s="12">
        <f>SUM(C16,C18,C22,C24)</f>
        <v>15004873.997443411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163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21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13</v>
      </c>
      <c r="C7" s="47"/>
      <c r="D7" s="20"/>
      <c r="E7" s="1"/>
    </row>
    <row r="8" spans="1:5" ht="15" customHeight="1" x14ac:dyDescent="0.25">
      <c r="A8" s="1"/>
      <c r="B8" s="49" t="s">
        <v>165</v>
      </c>
      <c r="C8" s="7">
        <f>'Fane 2.2. Økonomisk ramme 2022'!C16</f>
        <v>9415916.6579782516</v>
      </c>
      <c r="D8" s="8" t="s">
        <v>3</v>
      </c>
      <c r="E8" s="1"/>
    </row>
    <row r="9" spans="1:5" ht="15" customHeight="1" x14ac:dyDescent="0.25">
      <c r="A9" s="1"/>
      <c r="B9" s="49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9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0" t="s">
        <v>18</v>
      </c>
      <c r="C11" s="9">
        <f>SUM(C8:C10)*'Fane 12. Nøgletal'!C13</f>
        <v>114874.18322733468</v>
      </c>
      <c r="D11" s="8" t="s">
        <v>3</v>
      </c>
      <c r="E11" s="1"/>
    </row>
    <row r="12" spans="1:5" ht="15" customHeight="1" x14ac:dyDescent="0.25">
      <c r="A12" s="1"/>
      <c r="B12" s="40" t="s">
        <v>9</v>
      </c>
      <c r="C12" s="9">
        <f>-SUM(C8:C11)*'Fane 5. Individuelt eff. krav'!G10</f>
        <v>-3795.1668467389009</v>
      </c>
      <c r="D12" s="8" t="s">
        <v>3</v>
      </c>
      <c r="E12" s="1"/>
    </row>
    <row r="13" spans="1:5" ht="15" customHeight="1" x14ac:dyDescent="0.25">
      <c r="A13" s="1"/>
      <c r="B13" s="40" t="s">
        <v>27</v>
      </c>
      <c r="C13" s="9">
        <f>-'Fane 4.1. Gen. krav - drift'!G43</f>
        <v>-79068.384930454442</v>
      </c>
      <c r="D13" s="8" t="s">
        <v>3</v>
      </c>
      <c r="E13" s="1"/>
    </row>
    <row r="14" spans="1:5" ht="15" customHeight="1" x14ac:dyDescent="0.25">
      <c r="A14" s="1"/>
      <c r="B14" s="40" t="s">
        <v>28</v>
      </c>
      <c r="C14" s="9">
        <f>-'Fane 4.2. Gen. krav - anlæg'!G43</f>
        <v>-162282.3365995395</v>
      </c>
      <c r="D14" s="8" t="s">
        <v>3</v>
      </c>
      <c r="E14" s="1"/>
    </row>
    <row r="15" spans="1:5" x14ac:dyDescent="0.25">
      <c r="A15" s="1"/>
      <c r="B15" s="41" t="s">
        <v>20</v>
      </c>
      <c r="C15" s="10">
        <f>SUM(C8:C14)</f>
        <v>9285644.9528288525</v>
      </c>
      <c r="D15" s="11" t="s">
        <v>3</v>
      </c>
      <c r="E15" s="1"/>
    </row>
    <row r="16" spans="1:5" x14ac:dyDescent="0.25">
      <c r="A16" s="1"/>
      <c r="B16" s="46" t="s">
        <v>12</v>
      </c>
      <c r="C16" s="47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omk.'!C16*(1+'Fane 12. Nøgletal'!C13)^2</f>
        <v>6699887.6277475348</v>
      </c>
      <c r="D17" s="11" t="s">
        <v>3</v>
      </c>
      <c r="E17" s="1"/>
    </row>
    <row r="18" spans="1:5" ht="15" customHeight="1" x14ac:dyDescent="0.25">
      <c r="A18" s="1"/>
      <c r="B18" s="46" t="s">
        <v>99</v>
      </c>
      <c r="C18" s="47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Engangstillæg'!C31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Engangstillæg'!E31</f>
        <v>0</v>
      </c>
      <c r="D20" s="8" t="s">
        <v>3</v>
      </c>
      <c r="E20" s="1"/>
    </row>
    <row r="21" spans="1:5" ht="15" customHeight="1" x14ac:dyDescent="0.2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109</v>
      </c>
      <c r="C22" s="12">
        <f>SUM(C15,C17,C21)</f>
        <v>15985532.580576386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164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21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13</v>
      </c>
      <c r="C7" s="47"/>
      <c r="D7" s="20"/>
      <c r="E7" s="1"/>
    </row>
    <row r="8" spans="1:5" ht="15" customHeight="1" x14ac:dyDescent="0.25">
      <c r="A8" s="1"/>
      <c r="B8" s="49" t="s">
        <v>166</v>
      </c>
      <c r="C8" s="7">
        <f>'Fane 2.3. Økonomisk ramme 2023'!C15</f>
        <v>9285644.9528288525</v>
      </c>
      <c r="D8" s="8" t="s">
        <v>3</v>
      </c>
      <c r="E8" s="1"/>
    </row>
    <row r="9" spans="1:5" ht="15" customHeight="1" x14ac:dyDescent="0.25">
      <c r="A9" s="1"/>
      <c r="B9" s="49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9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0" t="s">
        <v>18</v>
      </c>
      <c r="C11" s="9">
        <f>SUM(C8:C10)*'Fane 12. Nøgletal'!C13</f>
        <v>113284.86842451201</v>
      </c>
      <c r="D11" s="8" t="s">
        <v>3</v>
      </c>
      <c r="E11" s="1"/>
    </row>
    <row r="12" spans="1:5" ht="15" customHeight="1" x14ac:dyDescent="0.25">
      <c r="A12" s="1"/>
      <c r="B12" s="40" t="s">
        <v>9</v>
      </c>
      <c r="C12" s="9">
        <f>-SUM(C8:C11)*'Fane 5. Individuelt eff. krav'!G10</f>
        <v>-3742.6597064986327</v>
      </c>
      <c r="D12" s="8" t="s">
        <v>3</v>
      </c>
      <c r="E12" s="1"/>
    </row>
    <row r="13" spans="1:5" ht="15" customHeight="1" x14ac:dyDescent="0.25">
      <c r="A13" s="1"/>
      <c r="B13" s="40" t="s">
        <v>27</v>
      </c>
      <c r="C13" s="9">
        <f>-'Fane 4.1. Gen. krav - drift'!G49</f>
        <v>-78432.358842073867</v>
      </c>
      <c r="D13" s="8" t="s">
        <v>3</v>
      </c>
      <c r="E13" s="1"/>
    </row>
    <row r="14" spans="1:5" ht="15" customHeight="1" x14ac:dyDescent="0.25">
      <c r="A14" s="1"/>
      <c r="B14" s="40" t="s">
        <v>28</v>
      </c>
      <c r="C14" s="9">
        <f>-'Fane 4.2. Gen. krav - anlæg'!G49</f>
        <v>-159744.97112563741</v>
      </c>
      <c r="D14" s="8" t="s">
        <v>3</v>
      </c>
      <c r="E14" s="1"/>
    </row>
    <row r="15" spans="1:5" x14ac:dyDescent="0.25">
      <c r="A15" s="1"/>
      <c r="B15" s="41" t="s">
        <v>20</v>
      </c>
      <c r="C15" s="10">
        <f>SUM(C8:C14)</f>
        <v>9157009.8315791544</v>
      </c>
      <c r="D15" s="11" t="s">
        <v>3</v>
      </c>
      <c r="E15" s="1"/>
    </row>
    <row r="16" spans="1:5" x14ac:dyDescent="0.25">
      <c r="A16" s="1"/>
      <c r="B16" s="46" t="s">
        <v>12</v>
      </c>
      <c r="C16" s="47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omk.'!C16*(1+'Fane 12. Nøgletal'!C13)^3</f>
        <v>6781626.2568060551</v>
      </c>
      <c r="D17" s="11" t="s">
        <v>3</v>
      </c>
      <c r="E17" s="1"/>
    </row>
    <row r="18" spans="1:5" ht="15" customHeight="1" x14ac:dyDescent="0.25">
      <c r="A18" s="1"/>
      <c r="B18" s="46" t="s">
        <v>99</v>
      </c>
      <c r="C18" s="47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Engangstillæg'!C39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Engangstillæg'!E39</f>
        <v>0</v>
      </c>
      <c r="D20" s="8" t="s">
        <v>3</v>
      </c>
      <c r="E20" s="1"/>
    </row>
    <row r="21" spans="1:5" ht="15" customHeight="1" x14ac:dyDescent="0.2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241</v>
      </c>
      <c r="C22" s="12">
        <f>SUM(C15,C17,C21)</f>
        <v>15938636.088385209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180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167</v>
      </c>
      <c r="C8" s="47"/>
      <c r="D8" s="47"/>
      <c r="E8" s="47"/>
      <c r="F8" s="20"/>
      <c r="G8" s="1"/>
    </row>
    <row r="9" spans="1:7" x14ac:dyDescent="0.25">
      <c r="A9" s="1"/>
      <c r="B9" s="85" t="s">
        <v>23</v>
      </c>
      <c r="C9" s="86"/>
      <c r="D9" s="87"/>
      <c r="E9" s="7">
        <v>8916778.9377818033</v>
      </c>
      <c r="F9" s="8" t="s">
        <v>3</v>
      </c>
      <c r="G9" s="1"/>
    </row>
    <row r="10" spans="1:7" ht="15" customHeight="1" x14ac:dyDescent="0.25">
      <c r="A10" s="1"/>
      <c r="B10" s="76" t="s">
        <v>45</v>
      </c>
      <c r="C10" s="77"/>
      <c r="D10" s="78"/>
      <c r="E10" s="7">
        <v>77725.612800000003</v>
      </c>
      <c r="F10" s="8" t="s">
        <v>3</v>
      </c>
      <c r="G10" s="1"/>
    </row>
    <row r="11" spans="1:7" ht="15" customHeight="1" x14ac:dyDescent="0.25">
      <c r="A11" s="1"/>
      <c r="B11" s="76" t="s">
        <v>46</v>
      </c>
      <c r="C11" s="77"/>
      <c r="D11" s="78"/>
      <c r="E11" s="9">
        <v>466163.00336872082</v>
      </c>
      <c r="F11" s="8" t="s">
        <v>3</v>
      </c>
      <c r="G11" s="1"/>
    </row>
    <row r="12" spans="1:7" x14ac:dyDescent="0.25">
      <c r="A12" s="1"/>
      <c r="B12" s="76" t="s">
        <v>30</v>
      </c>
      <c r="C12" s="77"/>
      <c r="D12" s="78"/>
      <c r="E12" s="9">
        <v>0</v>
      </c>
      <c r="F12" s="8" t="s">
        <v>3</v>
      </c>
      <c r="G12" s="1"/>
    </row>
    <row r="13" spans="1:7" x14ac:dyDescent="0.25">
      <c r="A13" s="1"/>
      <c r="B13" s="76" t="s">
        <v>29</v>
      </c>
      <c r="C13" s="77"/>
      <c r="D13" s="78"/>
      <c r="E13" s="9">
        <v>0</v>
      </c>
      <c r="F13" s="8" t="s">
        <v>3</v>
      </c>
      <c r="G13" s="1"/>
    </row>
    <row r="14" spans="1:7" x14ac:dyDescent="0.25">
      <c r="A14" s="1"/>
      <c r="B14" s="76" t="s">
        <v>159</v>
      </c>
      <c r="C14" s="77"/>
      <c r="D14" s="78"/>
      <c r="E14" s="9">
        <v>0</v>
      </c>
      <c r="F14" s="8" t="s">
        <v>3</v>
      </c>
      <c r="G14" s="1"/>
    </row>
    <row r="15" spans="1:7" x14ac:dyDescent="0.25">
      <c r="A15" s="1"/>
      <c r="B15" s="76" t="s">
        <v>160</v>
      </c>
      <c r="C15" s="77"/>
      <c r="D15" s="78"/>
      <c r="E15" s="9">
        <v>0</v>
      </c>
      <c r="F15" s="8" t="s">
        <v>3</v>
      </c>
      <c r="G15" s="1"/>
    </row>
    <row r="16" spans="1:7" x14ac:dyDescent="0.25">
      <c r="A16" s="1"/>
      <c r="B16" s="76" t="s">
        <v>18</v>
      </c>
      <c r="C16" s="77"/>
      <c r="D16" s="78"/>
      <c r="E16" s="9">
        <f>E9*'Fane 12. Nøgletal'!C11+SUM(E10:E15)*'Fane 12. Nøgletal'!C12</f>
        <v>161408.16978703626</v>
      </c>
      <c r="F16" s="8" t="s">
        <v>3</v>
      </c>
      <c r="G16" s="1"/>
    </row>
    <row r="17" spans="1:7" x14ac:dyDescent="0.25">
      <c r="A17" s="1"/>
      <c r="B17" s="76" t="s">
        <v>9</v>
      </c>
      <c r="C17" s="77"/>
      <c r="D17" s="78"/>
      <c r="E17" s="9">
        <f>-SUM(E9:E16)*'Fane 5. Individuelt eff. krav'!G9</f>
        <v>-154957.14046251183</v>
      </c>
      <c r="F17" s="8" t="s">
        <v>3</v>
      </c>
      <c r="G17" s="1"/>
    </row>
    <row r="18" spans="1:7" x14ac:dyDescent="0.25">
      <c r="A18" s="1"/>
      <c r="B18" s="76" t="s">
        <v>27</v>
      </c>
      <c r="C18" s="77"/>
      <c r="D18" s="78"/>
      <c r="E18" s="9">
        <f>-'Fane 4.1. Gen. krav - drift'!G25</f>
        <v>-74001.045899037752</v>
      </c>
      <c r="F18" s="8" t="s">
        <v>3</v>
      </c>
      <c r="G18" s="1"/>
    </row>
    <row r="19" spans="1:7" x14ac:dyDescent="0.25">
      <c r="A19" s="1"/>
      <c r="B19" s="76" t="s">
        <v>28</v>
      </c>
      <c r="C19" s="77"/>
      <c r="D19" s="78"/>
      <c r="E19" s="9">
        <f>-'Fane 4.2. Gen. krav - anlæg'!G25</f>
        <v>-62188.039766976188</v>
      </c>
      <c r="F19" s="8" t="s">
        <v>3</v>
      </c>
      <c r="G19" s="1"/>
    </row>
    <row r="20" spans="1:7" x14ac:dyDescent="0.25">
      <c r="A20" s="1"/>
      <c r="B20" s="91" t="s">
        <v>20</v>
      </c>
      <c r="C20" s="92"/>
      <c r="D20" s="93"/>
      <c r="E20" s="10">
        <f>SUM(E9:E19)</f>
        <v>9330929.4976090342</v>
      </c>
      <c r="F20" s="11" t="s">
        <v>3</v>
      </c>
      <c r="G20" s="1"/>
    </row>
    <row r="21" spans="1:7" x14ac:dyDescent="0.25">
      <c r="A21" s="1"/>
      <c r="B21" s="79" t="s">
        <v>12</v>
      </c>
      <c r="C21" s="80"/>
      <c r="D21" s="80"/>
      <c r="E21" s="47"/>
      <c r="F21" s="20"/>
      <c r="G21" s="1"/>
    </row>
    <row r="22" spans="1:7" x14ac:dyDescent="0.25">
      <c r="A22" s="1"/>
      <c r="B22" s="81" t="s">
        <v>12</v>
      </c>
      <c r="C22" s="82"/>
      <c r="D22" s="83"/>
      <c r="E22" s="10">
        <v>5672219.7551372107</v>
      </c>
      <c r="F22" s="11" t="s">
        <v>3</v>
      </c>
      <c r="G22" s="1"/>
    </row>
    <row r="23" spans="1:7" ht="15" customHeight="1" x14ac:dyDescent="0.25">
      <c r="A23" s="1"/>
      <c r="B23" s="79" t="s">
        <v>99</v>
      </c>
      <c r="C23" s="80"/>
      <c r="D23" s="80"/>
      <c r="E23" s="47"/>
      <c r="F23" s="47"/>
      <c r="G23" s="1"/>
    </row>
    <row r="24" spans="1:7" ht="14.25" customHeight="1" x14ac:dyDescent="0.25">
      <c r="A24" s="1"/>
      <c r="B24" s="88" t="s">
        <v>95</v>
      </c>
      <c r="C24" s="89"/>
      <c r="D24" s="90"/>
      <c r="E24" s="9">
        <v>0</v>
      </c>
      <c r="F24" s="8" t="s">
        <v>3</v>
      </c>
      <c r="G24" s="1"/>
    </row>
    <row r="25" spans="1:7" ht="14.25" customHeight="1" x14ac:dyDescent="0.25">
      <c r="A25" s="1"/>
      <c r="B25" s="88" t="s">
        <v>96</v>
      </c>
      <c r="C25" s="89"/>
      <c r="D25" s="90"/>
      <c r="E25" s="9">
        <v>0</v>
      </c>
      <c r="F25" s="8" t="s">
        <v>3</v>
      </c>
      <c r="G25" s="1"/>
    </row>
    <row r="26" spans="1:7" x14ac:dyDescent="0.25">
      <c r="A26" s="1"/>
      <c r="B26" s="94" t="s">
        <v>100</v>
      </c>
      <c r="C26" s="95"/>
      <c r="D26" s="95"/>
      <c r="E26" s="10">
        <v>0</v>
      </c>
      <c r="F26" s="11" t="s">
        <v>3</v>
      </c>
      <c r="G26" s="1"/>
    </row>
    <row r="27" spans="1:7" ht="14.25" customHeight="1" x14ac:dyDescent="0.25">
      <c r="A27" s="1"/>
      <c r="B27" s="46" t="s">
        <v>228</v>
      </c>
      <c r="C27" s="47"/>
      <c r="D27" s="47"/>
      <c r="E27" s="47"/>
      <c r="F27" s="47"/>
      <c r="G27" s="1"/>
    </row>
    <row r="28" spans="1:7" ht="13.15" customHeight="1" x14ac:dyDescent="0.25">
      <c r="A28" s="1"/>
      <c r="B28" s="94" t="s">
        <v>229</v>
      </c>
      <c r="C28" s="95"/>
      <c r="D28" s="96"/>
      <c r="E28" s="10">
        <v>-535268</v>
      </c>
      <c r="F28" s="11" t="s">
        <v>3</v>
      </c>
      <c r="G28" s="1"/>
    </row>
    <row r="29" spans="1:7" x14ac:dyDescent="0.25">
      <c r="A29" s="1"/>
      <c r="B29" s="46" t="s">
        <v>230</v>
      </c>
      <c r="C29" s="47"/>
      <c r="D29" s="47"/>
      <c r="E29" s="47"/>
      <c r="F29" s="20"/>
      <c r="G29" s="1"/>
    </row>
    <row r="30" spans="1:7" ht="15" customHeight="1" x14ac:dyDescent="0.25">
      <c r="A30" s="1"/>
      <c r="B30" s="94" t="s">
        <v>231</v>
      </c>
      <c r="C30" s="95"/>
      <c r="D30" s="96"/>
      <c r="E30" s="10">
        <v>-674546.46575249918</v>
      </c>
      <c r="F30" s="11" t="s">
        <v>3</v>
      </c>
      <c r="G30" s="1"/>
    </row>
    <row r="31" spans="1:7" x14ac:dyDescent="0.25">
      <c r="A31" s="1"/>
      <c r="B31" s="46" t="s">
        <v>232</v>
      </c>
      <c r="C31" s="47"/>
      <c r="D31" s="47"/>
      <c r="E31" s="47"/>
      <c r="F31" s="20"/>
      <c r="G31" s="1"/>
    </row>
    <row r="32" spans="1:7" x14ac:dyDescent="0.25">
      <c r="A32" s="1"/>
      <c r="B32" s="81" t="s">
        <v>233</v>
      </c>
      <c r="C32" s="82"/>
      <c r="D32" s="83"/>
      <c r="E32" s="10">
        <v>15689.074750496249</v>
      </c>
      <c r="F32" s="11" t="s">
        <v>3</v>
      </c>
      <c r="G32" s="1"/>
    </row>
    <row r="33" spans="1:7" x14ac:dyDescent="0.25">
      <c r="A33" s="1"/>
      <c r="B33" s="46" t="s">
        <v>24</v>
      </c>
      <c r="C33" s="47"/>
      <c r="D33" s="47"/>
      <c r="E33" s="12">
        <f>SUM(E30,E26,E28,E22,E20,E32)</f>
        <v>13809023.861744242</v>
      </c>
      <c r="F33" s="13" t="s">
        <v>3</v>
      </c>
      <c r="G33" s="1"/>
    </row>
    <row r="34" spans="1:7" ht="28.15" customHeight="1" x14ac:dyDescent="0.25">
      <c r="A34" s="1"/>
      <c r="B34" s="88" t="s">
        <v>179</v>
      </c>
      <c r="C34" s="89"/>
      <c r="D34" s="89"/>
      <c r="E34" s="89"/>
      <c r="F34" s="9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4" t="s">
        <v>138</v>
      </c>
      <c r="C1" s="74"/>
      <c r="D1" s="74"/>
      <c r="E1" s="74"/>
      <c r="F1" s="74"/>
      <c r="G1" s="74"/>
      <c r="H1" s="74"/>
      <c r="I1" s="1"/>
    </row>
    <row r="2" spans="1:9" ht="15" customHeight="1" x14ac:dyDescent="0.2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2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25">
      <c r="A4" s="1"/>
      <c r="B4" s="97" t="s">
        <v>64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0" t="s">
        <v>53</v>
      </c>
      <c r="C5" s="101"/>
      <c r="D5" s="101"/>
      <c r="E5" s="101"/>
      <c r="F5" s="102"/>
      <c r="G5" s="24">
        <v>3694667.3391598254</v>
      </c>
      <c r="H5" s="14" t="s">
        <v>3</v>
      </c>
      <c r="I5" s="1"/>
    </row>
    <row r="6" spans="1:9" x14ac:dyDescent="0.25">
      <c r="A6" s="1"/>
      <c r="B6" s="100" t="s">
        <v>54</v>
      </c>
      <c r="C6" s="101"/>
      <c r="D6" s="101"/>
      <c r="E6" s="101"/>
      <c r="F6" s="102"/>
      <c r="G6" s="24">
        <f>G5*'Fane 12. Nøgletal'!C27</f>
        <v>73893.34678319651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65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0" t="s">
        <v>55</v>
      </c>
      <c r="C10" s="101"/>
      <c r="D10" s="101"/>
      <c r="E10" s="101"/>
      <c r="F10" s="102"/>
      <c r="G10" s="24">
        <f>(G5-G6)*(1+'Fane 12. Nøgletal'!C9)</f>
        <v>3666757.8220798117</v>
      </c>
      <c r="H10" s="14" t="s">
        <v>3</v>
      </c>
      <c r="I10" s="1"/>
    </row>
    <row r="11" spans="1:9" x14ac:dyDescent="0.25">
      <c r="A11" s="1"/>
      <c r="B11" s="103" t="s">
        <v>56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25">
      <c r="A12" s="1"/>
      <c r="B12" s="100" t="s">
        <v>57</v>
      </c>
      <c r="C12" s="101"/>
      <c r="D12" s="101"/>
      <c r="E12" s="101"/>
      <c r="F12" s="102"/>
      <c r="G12" s="24">
        <f>(G10+G11)*'Fane 12. Nøgletal'!C27</f>
        <v>73335.156441596235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7" t="s">
        <v>66</v>
      </c>
      <c r="C15" s="98"/>
      <c r="D15" s="98"/>
      <c r="E15" s="98"/>
      <c r="F15" s="98"/>
      <c r="G15" s="98"/>
      <c r="H15" s="99"/>
      <c r="I15" s="1"/>
    </row>
    <row r="16" spans="1:9" x14ac:dyDescent="0.25">
      <c r="A16" s="1"/>
      <c r="B16" s="100" t="s">
        <v>58</v>
      </c>
      <c r="C16" s="101"/>
      <c r="D16" s="101"/>
      <c r="E16" s="101"/>
      <c r="F16" s="102"/>
      <c r="G16" s="24">
        <f>(G10-G12)*(1+'Fane 12. Nøgletal'!C11)</f>
        <v>3654151.5086875008</v>
      </c>
      <c r="H16" s="14" t="s">
        <v>3</v>
      </c>
      <c r="I16" s="1"/>
    </row>
    <row r="17" spans="1:9" x14ac:dyDescent="0.25">
      <c r="A17" s="1"/>
      <c r="B17" s="100" t="s">
        <v>148</v>
      </c>
      <c r="C17" s="101"/>
      <c r="D17" s="101"/>
      <c r="E17" s="101"/>
      <c r="F17" s="102"/>
      <c r="G17" s="24">
        <v>-20864.781339149249</v>
      </c>
      <c r="H17" s="14" t="s">
        <v>3</v>
      </c>
      <c r="I17" s="1"/>
    </row>
    <row r="18" spans="1:9" x14ac:dyDescent="0.25">
      <c r="A18" s="1"/>
      <c r="B18" s="103" t="s">
        <v>59</v>
      </c>
      <c r="C18" s="104"/>
      <c r="D18" s="104"/>
      <c r="E18" s="104"/>
      <c r="F18" s="105"/>
      <c r="G18" s="24">
        <v>0</v>
      </c>
      <c r="H18" s="14" t="s">
        <v>3</v>
      </c>
      <c r="I18" s="1"/>
    </row>
    <row r="19" spans="1:9" x14ac:dyDescent="0.25">
      <c r="A19" s="1"/>
      <c r="B19" s="100" t="s">
        <v>60</v>
      </c>
      <c r="C19" s="101"/>
      <c r="D19" s="101"/>
      <c r="E19" s="101"/>
      <c r="F19" s="102"/>
      <c r="G19" s="24">
        <f>SUM(G16:G18)*'Fane 12. Nøgletal'!C27</f>
        <v>72665.734546967025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67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0" t="s">
        <v>61</v>
      </c>
      <c r="C23" s="101"/>
      <c r="D23" s="101"/>
      <c r="E23" s="101"/>
      <c r="F23" s="102"/>
      <c r="G23" s="24">
        <f>(SUM(G16:G18)-G19)*(1+'Fane 12. Nøgletal'!C11)</f>
        <v>3620795.4875797275</v>
      </c>
      <c r="H23" s="14" t="s">
        <v>3</v>
      </c>
      <c r="I23" s="1"/>
    </row>
    <row r="24" spans="1:9" x14ac:dyDescent="0.25">
      <c r="A24" s="1"/>
      <c r="B24" s="103" t="s">
        <v>62</v>
      </c>
      <c r="C24" s="104"/>
      <c r="D24" s="104"/>
      <c r="E24" s="104"/>
      <c r="F24" s="105"/>
      <c r="G24" s="24">
        <v>79256.807372160009</v>
      </c>
      <c r="H24" s="14" t="s">
        <v>3</v>
      </c>
      <c r="I24" s="1"/>
    </row>
    <row r="25" spans="1:9" x14ac:dyDescent="0.25">
      <c r="A25" s="1"/>
      <c r="B25" s="100" t="s">
        <v>63</v>
      </c>
      <c r="C25" s="101"/>
      <c r="D25" s="101"/>
      <c r="E25" s="101"/>
      <c r="F25" s="102"/>
      <c r="G25" s="24">
        <f>(G23+G24)*'Fane 12. Nøgletal'!C27</f>
        <v>74001.045899037752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222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0" t="s">
        <v>70</v>
      </c>
      <c r="C29" s="101"/>
      <c r="D29" s="101"/>
      <c r="E29" s="101"/>
      <c r="F29" s="102"/>
      <c r="G29" s="24">
        <f>(G23+G24-G25)*(1+'Fane 12. Nøgletal'!C13)</f>
        <v>3670289.0742912944</v>
      </c>
      <c r="H29" s="14" t="s">
        <v>3</v>
      </c>
      <c r="I29" s="1"/>
    </row>
    <row r="30" spans="1:9" x14ac:dyDescent="0.25">
      <c r="A30" s="1"/>
      <c r="B30" s="100" t="s">
        <v>187</v>
      </c>
      <c r="C30" s="101"/>
      <c r="D30" s="101"/>
      <c r="E30" s="101"/>
      <c r="F30" s="102"/>
      <c r="G30" s="24">
        <f>SUM('Fane 2.1. Økonomisk ramme 2021'!C10,'Fane 2.1. Økonomisk ramme 2021'!C12,'Fane 2.1. Økonomisk ramme 2021'!C14)*(1+'Fane 12. Nøgletal'!C13)</f>
        <v>347508.52464888</v>
      </c>
      <c r="H30" s="14" t="s">
        <v>3</v>
      </c>
      <c r="I30" s="1"/>
    </row>
    <row r="31" spans="1:9" x14ac:dyDescent="0.25">
      <c r="A31" s="1"/>
      <c r="B31" s="100" t="s">
        <v>199</v>
      </c>
      <c r="C31" s="101"/>
      <c r="D31" s="101"/>
      <c r="E31" s="101"/>
      <c r="F31" s="102"/>
      <c r="G31" s="24">
        <f>(G29+G30)*'Fane 12. Nøgletal'!C27</f>
        <v>80355.951978803496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223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0" t="s">
        <v>90</v>
      </c>
      <c r="C35" s="101"/>
      <c r="D35" s="101"/>
      <c r="E35" s="101"/>
      <c r="F35" s="102"/>
      <c r="G35" s="24">
        <f>(G29+G30-G31)*(1+'Fane 12. Nøgletal'!C13)</f>
        <v>3985478.4350542994</v>
      </c>
      <c r="H35" s="14" t="s">
        <v>3</v>
      </c>
      <c r="I35" s="1"/>
    </row>
    <row r="36" spans="1:9" x14ac:dyDescent="0.25">
      <c r="A36" s="1"/>
      <c r="B36" s="100" t="s">
        <v>102</v>
      </c>
      <c r="C36" s="101"/>
      <c r="D36" s="101"/>
      <c r="E36" s="101"/>
      <c r="F36" s="102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100" t="s">
        <v>224</v>
      </c>
      <c r="C37" s="101"/>
      <c r="D37" s="101"/>
      <c r="E37" s="101"/>
      <c r="F37" s="102"/>
      <c r="G37" s="24">
        <f>(G35+G36)*'Fane 12. Nøgletal'!C27</f>
        <v>79709.568701085984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91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0" t="s">
        <v>89</v>
      </c>
      <c r="C41" s="101"/>
      <c r="D41" s="101"/>
      <c r="E41" s="101"/>
      <c r="F41" s="102"/>
      <c r="G41" s="24">
        <f>(G35+G36-G37)*(1+'Fane 12. Nøgletal'!C13)</f>
        <v>3953419.2465227223</v>
      </c>
      <c r="H41" s="14" t="s">
        <v>3</v>
      </c>
      <c r="I41" s="1"/>
    </row>
    <row r="42" spans="1:9" x14ac:dyDescent="0.25">
      <c r="A42" s="1"/>
      <c r="B42" s="100" t="s">
        <v>103</v>
      </c>
      <c r="C42" s="101"/>
      <c r="D42" s="101"/>
      <c r="E42" s="101"/>
      <c r="F42" s="102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100" t="s">
        <v>71</v>
      </c>
      <c r="C43" s="101"/>
      <c r="D43" s="101"/>
      <c r="E43" s="101"/>
      <c r="F43" s="102"/>
      <c r="G43" s="24">
        <f>(G41+G42)*'Fane 12. Nøgletal'!C27</f>
        <v>79068.384930454442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7" t="s">
        <v>188</v>
      </c>
      <c r="C46" s="98"/>
      <c r="D46" s="98"/>
      <c r="E46" s="98"/>
      <c r="F46" s="98"/>
      <c r="G46" s="98"/>
      <c r="H46" s="99"/>
      <c r="I46" s="1"/>
    </row>
    <row r="47" spans="1:9" x14ac:dyDescent="0.25">
      <c r="A47" s="1"/>
      <c r="B47" s="100" t="s">
        <v>189</v>
      </c>
      <c r="C47" s="101"/>
      <c r="D47" s="101"/>
      <c r="E47" s="101"/>
      <c r="F47" s="102"/>
      <c r="G47" s="24">
        <f>(G41+G42-G43)*(1+'Fane 12. Nøgletal'!C13)</f>
        <v>3921617.9421036933</v>
      </c>
      <c r="H47" s="14" t="s">
        <v>3</v>
      </c>
      <c r="I47" s="1"/>
    </row>
    <row r="48" spans="1:9" x14ac:dyDescent="0.25">
      <c r="A48" s="1"/>
      <c r="B48" s="100" t="s">
        <v>190</v>
      </c>
      <c r="C48" s="101"/>
      <c r="D48" s="101"/>
      <c r="E48" s="101"/>
      <c r="F48" s="102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100" t="s">
        <v>191</v>
      </c>
      <c r="C49" s="101"/>
      <c r="D49" s="101"/>
      <c r="E49" s="101"/>
      <c r="F49" s="102"/>
      <c r="G49" s="24">
        <f>(G47+G48)*'Fane 12. Nøgletal'!C27</f>
        <v>78432.358842073867</v>
      </c>
      <c r="H49" s="14" t="s">
        <v>3</v>
      </c>
      <c r="I49" s="1"/>
    </row>
    <row r="50" spans="1:9" x14ac:dyDescent="0.25">
      <c r="A50" s="1"/>
      <c r="B50" s="46"/>
      <c r="C50" s="47"/>
      <c r="D50" s="47"/>
      <c r="E50" s="47"/>
      <c r="F50" s="47"/>
      <c r="G50" s="47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6" t="s">
        <v>139</v>
      </c>
      <c r="C2" s="106"/>
      <c r="D2" s="106"/>
      <c r="E2" s="106"/>
      <c r="F2" s="106"/>
      <c r="G2" s="106"/>
      <c r="H2" s="106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7" t="s">
        <v>68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0" t="s">
        <v>72</v>
      </c>
      <c r="C5" s="101"/>
      <c r="D5" s="101"/>
      <c r="E5" s="101"/>
      <c r="F5" s="102"/>
      <c r="G5" s="24">
        <v>5083638.7747754324</v>
      </c>
      <c r="H5" s="14" t="s">
        <v>3</v>
      </c>
      <c r="I5" s="1"/>
    </row>
    <row r="6" spans="1:9" x14ac:dyDescent="0.25">
      <c r="A6" s="1"/>
      <c r="B6" s="100" t="s">
        <v>69</v>
      </c>
      <c r="C6" s="101"/>
      <c r="D6" s="101"/>
      <c r="E6" s="101"/>
      <c r="F6" s="102"/>
      <c r="G6" s="24">
        <f>G5*'Fane 12. Nøgletal'!C18</f>
        <v>46261.11285045644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73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0" t="s">
        <v>74</v>
      </c>
      <c r="C10" s="101"/>
      <c r="D10" s="101"/>
      <c r="E10" s="101"/>
      <c r="F10" s="102"/>
      <c r="G10" s="24">
        <f>(G5-G6)*(1+'Fane 12. Nøgletal'!C9)</f>
        <v>5101352.3582314225</v>
      </c>
      <c r="H10" s="14" t="s">
        <v>3</v>
      </c>
      <c r="I10" s="1"/>
    </row>
    <row r="11" spans="1:9" x14ac:dyDescent="0.25">
      <c r="A11" s="1"/>
      <c r="B11" s="103" t="s">
        <v>75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25">
      <c r="A12" s="1"/>
      <c r="B12" s="100" t="s">
        <v>76</v>
      </c>
      <c r="C12" s="101"/>
      <c r="D12" s="101"/>
      <c r="E12" s="101"/>
      <c r="F12" s="102"/>
      <c r="G12" s="24">
        <f>G10*'Fane 12. Nøgletal'!C18+G11*'Fane 12. Nøgletal'!C19</f>
        <v>46422.306459905943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7" t="s">
        <v>77</v>
      </c>
      <c r="C15" s="98"/>
      <c r="D15" s="98"/>
      <c r="E15" s="98"/>
      <c r="F15" s="98"/>
      <c r="G15" s="98"/>
      <c r="H15" s="99"/>
      <c r="I15" s="1"/>
    </row>
    <row r="16" spans="1:9" x14ac:dyDescent="0.25">
      <c r="A16" s="1"/>
      <c r="B16" s="100" t="s">
        <v>78</v>
      </c>
      <c r="C16" s="101"/>
      <c r="D16" s="101"/>
      <c r="E16" s="101"/>
      <c r="F16" s="102"/>
      <c r="G16" s="24">
        <f>(G10+G11-G12)*(1+'Fane 12. Nøgletal'!C11)</f>
        <v>5140358.3696464552</v>
      </c>
      <c r="H16" s="14" t="s">
        <v>3</v>
      </c>
      <c r="I16" s="1"/>
    </row>
    <row r="17" spans="1:9" x14ac:dyDescent="0.25">
      <c r="A17" s="1"/>
      <c r="B17" s="100" t="s">
        <v>149</v>
      </c>
      <c r="C17" s="101"/>
      <c r="D17" s="101"/>
      <c r="E17" s="101"/>
      <c r="F17" s="102"/>
      <c r="G17" s="24">
        <v>411279.4682196076</v>
      </c>
      <c r="H17" s="14" t="s">
        <v>3</v>
      </c>
      <c r="I17" s="1"/>
    </row>
    <row r="18" spans="1:9" x14ac:dyDescent="0.25">
      <c r="A18" s="1"/>
      <c r="B18" s="103" t="s">
        <v>79</v>
      </c>
      <c r="C18" s="104"/>
      <c r="D18" s="104"/>
      <c r="E18" s="104"/>
      <c r="F18" s="105"/>
      <c r="G18" s="24">
        <v>0</v>
      </c>
      <c r="H18" s="14" t="s">
        <v>3</v>
      </c>
      <c r="I18" s="1"/>
    </row>
    <row r="19" spans="1:9" x14ac:dyDescent="0.25">
      <c r="A19" s="1"/>
      <c r="B19" s="100" t="s">
        <v>80</v>
      </c>
      <c r="C19" s="101"/>
      <c r="D19" s="101"/>
      <c r="E19" s="101"/>
      <c r="F19" s="102"/>
      <c r="G19" s="24">
        <f>SUM(G16:G18)*'Fane 12. Nøgletal'!C20</f>
        <v>48299.24918943474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81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0" t="s">
        <v>82</v>
      </c>
      <c r="C23" s="101"/>
      <c r="D23" s="101"/>
      <c r="E23" s="101"/>
      <c r="F23" s="102"/>
      <c r="G23" s="24">
        <f>(SUM(G16:G18)-G19)*(1+'Fane 12. Nøgletal'!C11)</f>
        <v>5596345.0108252624</v>
      </c>
      <c r="H23" s="14" t="s">
        <v>3</v>
      </c>
      <c r="I23" s="1"/>
    </row>
    <row r="24" spans="1:9" x14ac:dyDescent="0.25">
      <c r="A24" s="1"/>
      <c r="B24" s="103" t="s">
        <v>83</v>
      </c>
      <c r="C24" s="104"/>
      <c r="D24" s="104"/>
      <c r="E24" s="104"/>
      <c r="F24" s="105"/>
      <c r="G24" s="24">
        <v>475346.41453508462</v>
      </c>
      <c r="H24" s="14" t="s">
        <v>3</v>
      </c>
      <c r="I24" s="1"/>
    </row>
    <row r="25" spans="1:9" x14ac:dyDescent="0.25">
      <c r="A25" s="1"/>
      <c r="B25" s="100" t="s">
        <v>84</v>
      </c>
      <c r="C25" s="101"/>
      <c r="D25" s="101"/>
      <c r="E25" s="101"/>
      <c r="F25" s="102"/>
      <c r="G25" s="24">
        <f>G23*'Fane 12. Nøgletal'!C20+G24*'Fane 12. Nøgletal'!C21</f>
        <v>62188.039766976188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220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0" t="s">
        <v>85</v>
      </c>
      <c r="C29" s="101"/>
      <c r="D29" s="101"/>
      <c r="E29" s="101"/>
      <c r="F29" s="102"/>
      <c r="G29" s="24">
        <f>(G23+G24-G25)*(1+'Fane 12. Nøgletal'!C13)</f>
        <v>6082819.32689761</v>
      </c>
      <c r="H29" s="14" t="s">
        <v>3</v>
      </c>
      <c r="I29" s="1"/>
    </row>
    <row r="30" spans="1:9" x14ac:dyDescent="0.25">
      <c r="A30" s="1"/>
      <c r="B30" s="100" t="s">
        <v>192</v>
      </c>
      <c r="C30" s="101"/>
      <c r="D30" s="101"/>
      <c r="E30" s="101"/>
      <c r="F30" s="102"/>
      <c r="G30" s="24">
        <f>SUM('Fane 2.1. Økonomisk ramme 2021'!C11,'Fane 2.1. Økonomisk ramme 2021'!C13,'Fane 2.1. Økonomisk ramme 2021'!C15)*(1+'Fane 12. Nøgletal'!C13)</f>
        <v>7312.2050710799995</v>
      </c>
      <c r="H30" s="14" t="s">
        <v>3</v>
      </c>
      <c r="I30" s="1"/>
    </row>
    <row r="31" spans="1:9" x14ac:dyDescent="0.25">
      <c r="A31" s="1"/>
      <c r="B31" s="100" t="s">
        <v>221</v>
      </c>
      <c r="C31" s="101"/>
      <c r="D31" s="101"/>
      <c r="E31" s="101"/>
      <c r="F31" s="102"/>
      <c r="G31" s="24">
        <f>(G29+G30)*'Fane 12. Nøgletal'!C22</f>
        <v>167478.61712913896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225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0" t="s">
        <v>88</v>
      </c>
      <c r="C35" s="101"/>
      <c r="D35" s="101"/>
      <c r="E35" s="101"/>
      <c r="F35" s="102"/>
      <c r="G35" s="24">
        <f>(G29+G30-G31)*(1+'Fane 12. Nøgletal'!C13)</f>
        <v>5994909.2804005938</v>
      </c>
      <c r="H35" s="14" t="s">
        <v>3</v>
      </c>
      <c r="I35" s="1"/>
    </row>
    <row r="36" spans="1:9" x14ac:dyDescent="0.25">
      <c r="A36" s="1"/>
      <c r="B36" s="100" t="s">
        <v>107</v>
      </c>
      <c r="C36" s="101"/>
      <c r="D36" s="101"/>
      <c r="E36" s="101"/>
      <c r="F36" s="102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100" t="s">
        <v>226</v>
      </c>
      <c r="C37" s="101"/>
      <c r="D37" s="101"/>
      <c r="E37" s="101"/>
      <c r="F37" s="102"/>
      <c r="G37" s="24">
        <f>(G35+G36)*'Fane 12. Nøgletal'!C22</f>
        <v>164860.00521101634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92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0" t="s">
        <v>87</v>
      </c>
      <c r="C41" s="101"/>
      <c r="D41" s="101"/>
      <c r="E41" s="101"/>
      <c r="F41" s="102"/>
      <c r="G41" s="24">
        <f>(G35+G36-G37)*(1+'Fane 12. Nøgletal'!C13)</f>
        <v>5901175.8763468908</v>
      </c>
      <c r="H41" s="14" t="s">
        <v>3</v>
      </c>
      <c r="I41" s="1"/>
    </row>
    <row r="42" spans="1:9" x14ac:dyDescent="0.25">
      <c r="A42" s="1"/>
      <c r="B42" s="100" t="s">
        <v>108</v>
      </c>
      <c r="C42" s="101"/>
      <c r="D42" s="101"/>
      <c r="E42" s="101"/>
      <c r="F42" s="102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100" t="s">
        <v>86</v>
      </c>
      <c r="C43" s="101"/>
      <c r="D43" s="101"/>
      <c r="E43" s="101"/>
      <c r="F43" s="102"/>
      <c r="G43" s="24">
        <f>(G41+G42)*'Fane 12. Nøgletal'!C22</f>
        <v>162282.3365995395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7" t="s">
        <v>193</v>
      </c>
      <c r="C46" s="98"/>
      <c r="D46" s="98"/>
      <c r="E46" s="98"/>
      <c r="F46" s="98"/>
      <c r="G46" s="98"/>
      <c r="H46" s="99"/>
      <c r="I46" s="1"/>
    </row>
    <row r="47" spans="1:9" x14ac:dyDescent="0.25">
      <c r="A47" s="1"/>
      <c r="B47" s="100" t="s">
        <v>194</v>
      </c>
      <c r="C47" s="101"/>
      <c r="D47" s="101"/>
      <c r="E47" s="101"/>
      <c r="F47" s="102"/>
      <c r="G47" s="24">
        <f>(G41+G42-G43)*(1+'Fane 12. Nøgletal'!C13)</f>
        <v>5808908.0409322698</v>
      </c>
      <c r="H47" s="14" t="s">
        <v>3</v>
      </c>
      <c r="I47" s="1"/>
    </row>
    <row r="48" spans="1:9" x14ac:dyDescent="0.25">
      <c r="A48" s="1"/>
      <c r="B48" s="100" t="s">
        <v>195</v>
      </c>
      <c r="C48" s="101"/>
      <c r="D48" s="101"/>
      <c r="E48" s="101"/>
      <c r="F48" s="102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100" t="s">
        <v>196</v>
      </c>
      <c r="C49" s="101"/>
      <c r="D49" s="101"/>
      <c r="E49" s="101"/>
      <c r="F49" s="102"/>
      <c r="G49" s="24">
        <f>(G47+G48)*'Fane 12. Nøgletal'!C22</f>
        <v>159744.97112563741</v>
      </c>
      <c r="H49" s="14" t="s">
        <v>3</v>
      </c>
      <c r="I49" s="1"/>
    </row>
    <row r="50" spans="1:9" x14ac:dyDescent="0.25">
      <c r="A50" s="1"/>
      <c r="B50" s="46"/>
      <c r="C50" s="47"/>
      <c r="D50" s="47"/>
      <c r="E50" s="47"/>
      <c r="F50" s="47"/>
      <c r="G50" s="47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101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124</v>
      </c>
      <c r="C9" s="101"/>
      <c r="D9" s="101"/>
      <c r="E9" s="101"/>
      <c r="F9" s="102"/>
      <c r="G9" s="23">
        <v>1.6104335998960616E-2</v>
      </c>
      <c r="H9" s="14"/>
      <c r="I9" s="1"/>
    </row>
    <row r="10" spans="1:9" x14ac:dyDescent="0.25">
      <c r="A10" s="1"/>
      <c r="B10" s="100" t="s">
        <v>181</v>
      </c>
      <c r="C10" s="101"/>
      <c r="D10" s="101"/>
      <c r="E10" s="101"/>
      <c r="F10" s="102"/>
      <c r="G10" s="23">
        <v>3.9820062258955584E-4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7" t="s">
        <v>227</v>
      </c>
      <c r="C13" s="107"/>
      <c r="D13" s="107"/>
      <c r="E13" s="107"/>
      <c r="F13" s="107"/>
      <c r="G13" s="107"/>
      <c r="H13" s="107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2020-10-30T16:52:17Z</dcterms:modified>
</cp:coreProperties>
</file>