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NK-Spildevand AS (S072)\ØR2024\"/>
    </mc:Choice>
  </mc:AlternateContent>
  <xr:revisionPtr revIDLastSave="0" documentId="13_ncr:1_{E5B61A40-781E-456C-B883-B8259EAF7B5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1" iterateCount="1"/>
</workbook>
</file>

<file path=xl/calcChain.xml><?xml version="1.0" encoding="utf-8"?>
<calcChain xmlns="http://schemas.openxmlformats.org/spreadsheetml/2006/main">
  <c r="C39" i="2" l="1"/>
  <c r="C14" i="19" l="1"/>
  <c r="E16" i="44" l="1"/>
  <c r="E17" i="44"/>
  <c r="E25" i="44" l="1"/>
  <c r="E18" i="44"/>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<sst xmlns="http://schemas.openxmlformats.org/spreadsheetml/2006/main" count="659" uniqueCount="294">
  <si>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</si>
  <si>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</si>
  <si>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</si>
  <si>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</si>
  <si>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</si>
  <si>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</si>
  <si>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</si>
  <si>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</si>
  <si>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</si>
  <si>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</si>
  <si>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</si>
  <si>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</si>
  <si>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</si>
  <si>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</si>
  <si>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</si>
  <si>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</si>
  <si>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</si>
  <si>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</si>
  <si>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</si>
  <si>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</si>
  <si>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</si>
  <si>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</si>
  <si>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</si>
  <si>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</si>
  <si>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</si>
  <si>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</si>
  <si>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</si>
  <si>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</si>
  <si>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</si>
  <si>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</si>
  <si>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</si>
  <si>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</si>
  <si>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</si>
  <si>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</si>
  <si>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</si>
  <si>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</si>
  <si>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</si>
  <si>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</si>
  <si>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</si>
  <si>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</si>
  <si>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</si>
  <si>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</si>
  <si>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</si>
  <si>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</si>
  <si>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</si>
  <si>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</si>
  <si>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</si>
  <si>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</si>
  <si>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</si>
  <si>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</si>
  <si>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</si>
  <si>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</si>
  <si>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</si>
  <si>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</si>
  <si>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</si>
  <si>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</si>
  <si>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</si>
  <si>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</si>
  <si>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</si>
  <si>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</si>
  <si>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</si>
  <si>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</si>
  <si>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</si>
  <si>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</si>
  <si>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</si>
  <si>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</si>
  <si>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</si>
  <si>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</si>
  <si>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</si>
  <si>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</si>
  <si>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</si>
  <si>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</si>
  <si>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</si>
  <si>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</si>
  <si>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</si>
  <si>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</si>
  <si>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</si>
  <si>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</si>
  <si>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</si>
  <si>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</si>
  <si>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</si>
  <si>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</si>
  <si>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</si>
  <si>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</si>
  <si>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</si>
  <si>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</si>
  <si>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</si>
  <si>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</si>
  <si>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</si>
  <si>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</si>
  <si>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</si>
  <si>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</si>
  <si>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</si>
  <si>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</si>
  <si>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</si>
  <si>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</si>
  <si>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</si>
  <si>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</si>
  <si>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</si>
  <si>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</si>
  <si>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</si>
  <si>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</si>
  <si>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</si>
  <si>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</si>
  <si>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</si>
  <si>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</si>
  <si>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</si>
  <si>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</si>
  <si>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</si>
  <si>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</si>
  <si>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</si>
  <si>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</si>
  <si>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</si>
  <si>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</si>
  <si>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</si>
  <si>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</si>
  <si>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</si>
  <si>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</si>
  <si>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</si>
  <si>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</si>
  <si>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</si>
  <si>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</si>
  <si>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</si>
  <si>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</si>
  <si>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</si>
  <si>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</si>
  <si>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</si>
  <si>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</si>
  <si>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</si>
  <si>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</si>
  <si>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</si>
  <si>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</si>
  <si>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</si>
  <si>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</si>
  <si>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</si>
  <si>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</si>
  <si>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</si>
  <si>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</si>
  <si>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</si>
  <si>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</si>
  <si>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</si>
  <si>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</si>
  <si>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</si>
  <si>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</si>
  <si>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</si>
  <si>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</si>
  <si>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</si>
  <si>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</si>
  <si>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</si>
  <si>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</si>
  <si>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</si>
  <si>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</si>
  <si>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</si>
  <si>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</si>
  <si>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</si>
  <si>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</si>
  <si>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</si>
  <si>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</si>
  <si>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</si>
  <si>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</si>
  <si>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</si>
  <si>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</si>
  <si>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</si>
  <si>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</si>
  <si>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</si>
  <si>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</si>
  <si>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</si>
  <si>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</si>
  <si>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</si>
  <si>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</si>
  <si>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</si>
  <si>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</si>
  <si>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</si>
  <si>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</si>
  <si>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</si>
  <si>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</si>
  <si>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</si>
  <si>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</si>
  <si>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</si>
  <si>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</si>
  <si>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</si>
  <si>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</si>
  <si>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</si>
  <si>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</si>
  <si>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</si>
  <si>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</si>
  <si>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</si>
  <si>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</si>
  <si>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</si>
  <si>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</si>
  <si>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</si>
  <si>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</si>
  <si>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</si>
  <si>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</si>
  <si>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</si>
  <si>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</si>
  <si>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</si>
  <si>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</si>
  <si>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</si>
  <si>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</si>
  <si>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</si>
  <si>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</si>
  <si>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</si>
  <si>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</si>
  <si>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</si>
  <si>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</si>
  <si>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</si>
  <si>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</si>
  <si>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</si>
  <si>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</si>
  <si>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</si>
  <si>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</si>
  <si>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</si>
  <si>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</si>
  <si>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</si>
  <si>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</si>
  <si>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</si>
  <si>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</si>
  <si>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</si>
  <si>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</si>
  <si>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</si>
  <si>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</si>
  <si>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</si>
  <si>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</si>
  <si>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</si>
  <si>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</si>
  <si>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</si>
  <si>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</si>
  <si>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</si>
  <si>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</si>
  <si>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</si>
  <si>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</si>
  <si>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</si>
  <si>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</si>
  <si>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</si>
  <si>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</si>
  <si>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</si>
  <si>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</si>
  <si>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</si>
  <si>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</si>
  <si>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</si>
  <si>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</si>
  <si>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</si>
  <si>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</si>
  <si>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</si>
  <si>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</si>
  <si>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</si>
  <si>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</si>
  <si>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</si>
  <si>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</si>
  <si>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</si>
  <si>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</si>
  <si>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</si>
  <si>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</si>
  <si>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</si>
  <si>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</si>
  <si>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</si>
  <si>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</si>
  <si>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</si>
  <si>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</si>
  <si>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</si>
  <si>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</si>
  <si>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</si>
  <si>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</si>
  <si>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</si>
  <si>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</si>
  <si>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</si>
  <si>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</si>
  <si>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</si>
  <si>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</si>
  <si>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</si>
  <si>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</si>
  <si>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Byggemodninger</t>
  </si>
  <si>
    <t>Åbent land</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</si>
  <si>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</si>
  <si>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</si>
  <si>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</si>
  <si>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</si>
  <si>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</si>
  <si>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</si>
  <si>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</si>
  <si>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</si>
  <si>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</si>
  <si>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</si>
  <si>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</si>
  <si>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</si>
  <si>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</si>
  <si>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</si>
  <si>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</si>
  <si>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Ejendomsskat</t>
  </si>
  <si>
    <t>Erstatninger</t>
  </si>
  <si>
    <t>Øvrige afgifter - biogasafgift</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</si>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</sst>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8" borderId="1" xfId="0" applyNumberFormat="1" applyFont="1" applyFill="1" applyBorder="1" applyProtection="1"/>
    <xf numFmtId="167" fontId="8" fillId="8" borderId="1" xfId="1" applyNumberFormat="1" applyFont="1" applyFill="1" applyBorder="1" applyProtection="1"/>
    <xf numFmtId="167"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102" t="s">
        <v>252</v>
      </c>
      <c r="E8" s="102"/>
      <c r="F8" s="102"/>
      <c r="G8" s="102"/>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1" t="s">
        <v>5</v>
      </c>
      <c r="E11" s="101"/>
      <c r="F11" s="101"/>
      <c r="G11" s="101"/>
      <c r="H11" s="5"/>
      <c r="I11" s="1"/>
    </row>
    <row r="12" spans="1:9" x14ac:dyDescent="0.25">
      <c r="A12" s="1"/>
      <c r="B12" s="1"/>
      <c r="C12" s="1"/>
      <c r="D12" s="1"/>
      <c r="E12" s="1"/>
      <c r="F12" s="1"/>
      <c r="G12" s="1"/>
      <c r="H12" s="5"/>
      <c r="I12" s="1"/>
    </row>
    <row r="13" spans="1:9" x14ac:dyDescent="0.25">
      <c r="A13" s="1"/>
      <c r="B13" s="1"/>
      <c r="C13" s="6" t="s">
        <v>6</v>
      </c>
      <c r="D13" s="106" t="s">
        <v>196</v>
      </c>
      <c r="E13" s="107"/>
      <c r="F13" s="107"/>
      <c r="G13" s="108"/>
      <c r="H13" s="5"/>
      <c r="I13" s="1"/>
    </row>
    <row r="14" spans="1:9" x14ac:dyDescent="0.25">
      <c r="A14" s="1"/>
      <c r="B14" s="1"/>
      <c r="C14" s="6" t="s">
        <v>16</v>
      </c>
      <c r="D14" s="91" t="s">
        <v>197</v>
      </c>
      <c r="E14" s="92"/>
      <c r="F14" s="92"/>
      <c r="G14" s="93"/>
      <c r="H14" s="5"/>
      <c r="I14" s="1"/>
    </row>
    <row r="15" spans="1:9" x14ac:dyDescent="0.25">
      <c r="A15" s="1"/>
      <c r="B15" s="1"/>
      <c r="C15" s="6" t="s">
        <v>31</v>
      </c>
      <c r="D15" s="91" t="s">
        <v>262</v>
      </c>
      <c r="E15" s="92"/>
      <c r="F15" s="92"/>
      <c r="G15" s="93"/>
      <c r="H15" s="5"/>
      <c r="I15" s="1"/>
    </row>
    <row r="16" spans="1:9" x14ac:dyDescent="0.25">
      <c r="A16" s="1"/>
      <c r="B16" s="1"/>
      <c r="C16" s="6" t="s">
        <v>32</v>
      </c>
      <c r="D16" s="91" t="s">
        <v>263</v>
      </c>
      <c r="E16" s="92"/>
      <c r="F16" s="92"/>
      <c r="G16" s="93"/>
      <c r="H16" s="5"/>
      <c r="I16" s="1"/>
    </row>
    <row r="17" spans="1:9" x14ac:dyDescent="0.25">
      <c r="A17" s="1"/>
      <c r="B17" s="1"/>
      <c r="C17" s="6" t="s">
        <v>101</v>
      </c>
      <c r="D17" s="91" t="s">
        <v>198</v>
      </c>
      <c r="E17" s="92"/>
      <c r="F17" s="92"/>
      <c r="G17" s="93"/>
      <c r="H17" s="5"/>
      <c r="I17" s="1"/>
    </row>
    <row r="18" spans="1:9" x14ac:dyDescent="0.25">
      <c r="A18" s="1"/>
      <c r="B18" s="1"/>
      <c r="C18" s="6" t="s">
        <v>88</v>
      </c>
      <c r="D18" s="103" t="s">
        <v>79</v>
      </c>
      <c r="E18" s="104"/>
      <c r="F18" s="104"/>
      <c r="G18" s="105"/>
      <c r="H18" s="5"/>
      <c r="I18" s="1"/>
    </row>
    <row r="19" spans="1:9" x14ac:dyDescent="0.25">
      <c r="A19" s="1"/>
      <c r="B19" s="1"/>
      <c r="C19" s="6" t="s">
        <v>89</v>
      </c>
      <c r="D19" s="103" t="s">
        <v>80</v>
      </c>
      <c r="E19" s="104"/>
      <c r="F19" s="104"/>
      <c r="G19" s="105"/>
      <c r="H19" s="5"/>
      <c r="I19" s="1"/>
    </row>
    <row r="20" spans="1:9" x14ac:dyDescent="0.25">
      <c r="A20" s="1"/>
      <c r="B20" s="1"/>
      <c r="C20" s="6" t="s">
        <v>7</v>
      </c>
      <c r="D20" s="103" t="s">
        <v>10</v>
      </c>
      <c r="E20" s="104"/>
      <c r="F20" s="104"/>
      <c r="G20" s="105"/>
      <c r="H20" s="5"/>
      <c r="I20" s="1"/>
    </row>
    <row r="21" spans="1:9" x14ac:dyDescent="0.25">
      <c r="A21" s="1"/>
      <c r="B21" s="1"/>
      <c r="C21" s="6" t="s">
        <v>90</v>
      </c>
      <c r="D21" s="95" t="s">
        <v>12</v>
      </c>
      <c r="E21" s="96"/>
      <c r="F21" s="96"/>
      <c r="G21" s="97"/>
      <c r="H21" s="5"/>
      <c r="I21" s="1"/>
    </row>
    <row r="22" spans="1:9" x14ac:dyDescent="0.25">
      <c r="A22" s="1"/>
      <c r="B22" s="1"/>
      <c r="C22" s="6" t="s">
        <v>71</v>
      </c>
      <c r="D22" s="98" t="s">
        <v>199</v>
      </c>
      <c r="E22" s="99"/>
      <c r="F22" s="99"/>
      <c r="G22" s="100"/>
      <c r="H22" s="5"/>
      <c r="I22" s="1"/>
    </row>
    <row r="23" spans="1:9" x14ac:dyDescent="0.25">
      <c r="A23" s="1"/>
      <c r="B23" s="1"/>
      <c r="C23" s="6" t="s">
        <v>8</v>
      </c>
      <c r="D23" s="98" t="s">
        <v>181</v>
      </c>
      <c r="E23" s="99"/>
      <c r="F23" s="99"/>
      <c r="G23" s="100"/>
      <c r="H23" s="5"/>
      <c r="I23" s="1"/>
    </row>
    <row r="24" spans="1:9" x14ac:dyDescent="0.25">
      <c r="A24" s="1"/>
      <c r="B24" s="1"/>
      <c r="C24" s="6" t="s">
        <v>9</v>
      </c>
      <c r="D24" s="98" t="s">
        <v>200</v>
      </c>
      <c r="E24" s="99"/>
      <c r="F24" s="99"/>
      <c r="G24" s="100"/>
      <c r="H24" s="5"/>
      <c r="I24" s="1"/>
    </row>
    <row r="25" spans="1:9" x14ac:dyDescent="0.25">
      <c r="A25" s="1"/>
      <c r="B25" s="1"/>
      <c r="C25" s="6" t="s">
        <v>166</v>
      </c>
      <c r="D25" s="98" t="s">
        <v>160</v>
      </c>
      <c r="E25" s="99"/>
      <c r="F25" s="99"/>
      <c r="G25" s="100"/>
      <c r="H25" s="1"/>
      <c r="I25" s="1"/>
    </row>
    <row r="26" spans="1:9" x14ac:dyDescent="0.25">
      <c r="A26" s="1"/>
      <c r="B26" s="1"/>
      <c r="C26" s="6" t="s">
        <v>167</v>
      </c>
      <c r="D26" s="98" t="s">
        <v>72</v>
      </c>
      <c r="E26" s="99"/>
      <c r="F26" s="99"/>
      <c r="G26" s="100"/>
      <c r="H26" s="1"/>
      <c r="I26" s="1"/>
    </row>
    <row r="27" spans="1:9" x14ac:dyDescent="0.25">
      <c r="A27" s="1"/>
      <c r="B27" s="1"/>
      <c r="C27" s="6" t="s">
        <v>168</v>
      </c>
      <c r="D27" s="98" t="s">
        <v>73</v>
      </c>
      <c r="E27" s="99"/>
      <c r="F27" s="99"/>
      <c r="G27" s="100"/>
      <c r="H27" s="1"/>
      <c r="I27" s="1"/>
    </row>
    <row r="28" spans="1:9" x14ac:dyDescent="0.25">
      <c r="A28" s="1"/>
      <c r="B28" s="1"/>
      <c r="C28" s="6" t="s">
        <v>15</v>
      </c>
      <c r="D28" s="98" t="s">
        <v>74</v>
      </c>
      <c r="E28" s="99"/>
      <c r="F28" s="99"/>
      <c r="G28" s="100"/>
      <c r="H28" s="1"/>
      <c r="I28" s="1"/>
    </row>
    <row r="29" spans="1:9" x14ac:dyDescent="0.25">
      <c r="A29" s="1"/>
      <c r="B29" s="1"/>
      <c r="C29" s="6" t="s">
        <v>34</v>
      </c>
      <c r="D29" s="98" t="s">
        <v>114</v>
      </c>
      <c r="E29" s="99"/>
      <c r="F29" s="99"/>
      <c r="G29" s="100"/>
      <c r="H29" s="1"/>
      <c r="I29" s="1"/>
    </row>
    <row r="30" spans="1:9" x14ac:dyDescent="0.25">
      <c r="A30" s="1"/>
      <c r="B30" s="1"/>
      <c r="C30" s="6" t="s">
        <v>35</v>
      </c>
      <c r="D30" s="98" t="s">
        <v>33</v>
      </c>
      <c r="E30" s="99"/>
      <c r="F30" s="99"/>
      <c r="G30" s="100"/>
      <c r="H30" s="1"/>
      <c r="I30" s="1"/>
    </row>
    <row r="31" spans="1:9" x14ac:dyDescent="0.25">
      <c r="A31" s="1"/>
      <c r="B31" s="1"/>
      <c r="C31" s="6" t="s">
        <v>169</v>
      </c>
      <c r="D31" s="109" t="s">
        <v>87</v>
      </c>
      <c r="E31" s="110"/>
      <c r="F31" s="110"/>
      <c r="G31" s="11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SAgPgqsUWJybsiWK5n0SxViHj1s66nYkNnbFUfdrWNBlnmLjcEUfdCLft50q7opAZ8tO8f4jR84liF185O6YEQ==" saltValue="oKt0v4uXNELxsmeQUwjrQ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90" zoomScaleNormal="100" zoomScalePageLayoutView="9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93</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224</v>
      </c>
      <c r="C8" s="120"/>
      <c r="D8" s="121"/>
      <c r="E8" s="1"/>
      <c r="F8" s="1"/>
    </row>
    <row r="9" spans="1:6" ht="15" customHeight="1" x14ac:dyDescent="0.25">
      <c r="A9" s="1"/>
      <c r="B9" s="27" t="s">
        <v>29</v>
      </c>
      <c r="C9" s="50" t="s">
        <v>225</v>
      </c>
      <c r="D9" s="11"/>
      <c r="E9" s="1"/>
      <c r="F9" s="1"/>
    </row>
    <row r="10" spans="1:6" ht="15" customHeight="1" x14ac:dyDescent="0.25">
      <c r="A10" s="1"/>
      <c r="B10" s="83" t="s">
        <v>286</v>
      </c>
      <c r="C10" s="9">
        <v>1420445</v>
      </c>
      <c r="D10" s="14" t="s">
        <v>3</v>
      </c>
      <c r="E10" s="1"/>
      <c r="F10" s="1"/>
    </row>
    <row r="11" spans="1:6" ht="15" customHeight="1" x14ac:dyDescent="0.25">
      <c r="A11" s="1"/>
      <c r="B11" s="83" t="s">
        <v>287</v>
      </c>
      <c r="C11" s="9">
        <v>131059</v>
      </c>
      <c r="D11" s="14" t="s">
        <v>3</v>
      </c>
      <c r="E11" s="1"/>
      <c r="F11" s="1"/>
    </row>
    <row r="12" spans="1:6" x14ac:dyDescent="0.25">
      <c r="A12" s="1"/>
      <c r="B12" s="83" t="s">
        <v>288</v>
      </c>
      <c r="C12" s="9">
        <v>444986</v>
      </c>
      <c r="D12" s="14" t="s">
        <v>3</v>
      </c>
      <c r="E12" s="1"/>
      <c r="F12" s="1"/>
    </row>
    <row r="13" spans="1:6" x14ac:dyDescent="0.25">
      <c r="A13" s="1"/>
      <c r="B13" s="83" t="s">
        <v>289</v>
      </c>
      <c r="C13" s="9">
        <v>578527</v>
      </c>
      <c r="D13" s="14" t="s">
        <v>3</v>
      </c>
      <c r="E13" s="1"/>
      <c r="F13" s="1"/>
    </row>
    <row r="14" spans="1:6" x14ac:dyDescent="0.25">
      <c r="A14" s="1"/>
      <c r="B14" s="83" t="s">
        <v>290</v>
      </c>
      <c r="C14" s="9">
        <f>134358+237154</f>
        <v>371512</v>
      </c>
      <c r="D14" s="14" t="s">
        <v>3</v>
      </c>
      <c r="E14" s="1"/>
      <c r="F14" s="1"/>
    </row>
    <row r="15" spans="1:6" x14ac:dyDescent="0.25">
      <c r="A15" s="1"/>
      <c r="B15" s="83" t="s">
        <v>291</v>
      </c>
      <c r="C15" s="9">
        <v>10434</v>
      </c>
      <c r="D15" s="14" t="s">
        <v>3</v>
      </c>
      <c r="E15" s="1"/>
      <c r="F15" s="1"/>
    </row>
    <row r="16" spans="1:6" x14ac:dyDescent="0.25">
      <c r="A16" s="1"/>
      <c r="B16" s="83"/>
      <c r="C16" s="9"/>
      <c r="D16" s="14" t="s">
        <v>3</v>
      </c>
      <c r="E16" s="1"/>
      <c r="F16" s="1"/>
    </row>
    <row r="17" spans="1:6" x14ac:dyDescent="0.25">
      <c r="A17" s="1"/>
      <c r="B17" s="83"/>
      <c r="C17" s="9"/>
      <c r="D17" s="14" t="s">
        <v>3</v>
      </c>
      <c r="E17" s="1"/>
      <c r="F17" s="1"/>
    </row>
    <row r="18" spans="1:6" x14ac:dyDescent="0.25">
      <c r="A18" s="1"/>
      <c r="B18" s="83"/>
      <c r="C18" s="9"/>
      <c r="D18" s="14" t="s">
        <v>3</v>
      </c>
      <c r="E18" s="1"/>
      <c r="F18" s="1"/>
    </row>
    <row r="19" spans="1:6" x14ac:dyDescent="0.25">
      <c r="A19" s="1"/>
      <c r="B19" s="83"/>
      <c r="C19" s="9"/>
      <c r="D19" s="14" t="s">
        <v>3</v>
      </c>
      <c r="E19" s="1"/>
      <c r="F19" s="1"/>
    </row>
    <row r="20" spans="1:6" x14ac:dyDescent="0.25">
      <c r="A20" s="1"/>
      <c r="B20" s="33" t="s">
        <v>226</v>
      </c>
      <c r="C20" s="12">
        <f>SUM(C10:C19)</f>
        <v>2956963</v>
      </c>
      <c r="D20" s="13" t="s">
        <v>3</v>
      </c>
      <c r="E20" s="1"/>
      <c r="F20" s="1"/>
    </row>
    <row r="21" spans="1:6" x14ac:dyDescent="0.25">
      <c r="A21" s="1"/>
      <c r="B21" s="33" t="s">
        <v>227</v>
      </c>
      <c r="C21" s="12">
        <f>C20*(1+'Fane 15. Nøgletal'!C16)^2</f>
        <v>3454113.1677203197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9" t="s">
        <v>99</v>
      </c>
      <c r="C24" s="120"/>
      <c r="D24" s="121"/>
      <c r="E24" s="1"/>
      <c r="F24" s="1"/>
    </row>
    <row r="25" spans="1:6" x14ac:dyDescent="0.25">
      <c r="A25" s="1"/>
      <c r="B25" s="83" t="s">
        <v>109</v>
      </c>
      <c r="C25" s="9">
        <v>0</v>
      </c>
      <c r="D25" s="14" t="s">
        <v>3</v>
      </c>
      <c r="E25" s="1"/>
      <c r="F25" s="1"/>
    </row>
    <row r="26" spans="1:6" x14ac:dyDescent="0.25">
      <c r="A26" s="1"/>
      <c r="B26" s="83" t="s">
        <v>123</v>
      </c>
      <c r="C26" s="9">
        <v>0</v>
      </c>
      <c r="D26" s="14" t="s">
        <v>3</v>
      </c>
      <c r="E26" s="1"/>
      <c r="F26" s="1"/>
    </row>
    <row r="27" spans="1:6" x14ac:dyDescent="0.25">
      <c r="A27" s="1"/>
      <c r="B27" s="83" t="s">
        <v>142</v>
      </c>
      <c r="C27" s="9">
        <v>0</v>
      </c>
      <c r="D27" s="14" t="s">
        <v>3</v>
      </c>
      <c r="E27" s="1"/>
      <c r="F27" s="1"/>
    </row>
    <row r="28" spans="1:6" x14ac:dyDescent="0.25">
      <c r="A28" s="1"/>
      <c r="B28" s="34" t="s">
        <v>261</v>
      </c>
      <c r="C28" s="9">
        <v>0</v>
      </c>
      <c r="D28" s="38" t="s">
        <v>3</v>
      </c>
      <c r="E28" s="1"/>
      <c r="F28" s="1"/>
    </row>
    <row r="29" spans="1:6" x14ac:dyDescent="0.25">
      <c r="A29" s="1"/>
      <c r="B29" s="119"/>
      <c r="C29" s="120"/>
      <c r="D29" s="121"/>
      <c r="E29" s="1"/>
      <c r="F29" s="1"/>
    </row>
    <row r="30" spans="1:6" x14ac:dyDescent="0.25">
      <c r="A30" s="1"/>
      <c r="B30" s="1"/>
      <c r="C30" s="1"/>
      <c r="D30" s="1"/>
      <c r="E30" s="1"/>
      <c r="F30" s="1"/>
    </row>
    <row r="31" spans="1:6" x14ac:dyDescent="0.25">
      <c r="A31" s="1"/>
      <c r="B31" s="1"/>
      <c r="C31" s="1"/>
      <c r="D31" s="1"/>
      <c r="E31" s="1"/>
      <c r="F31" s="1"/>
    </row>
    <row r="32" spans="1:6" x14ac:dyDescent="0.25">
      <c r="A32" s="1"/>
      <c r="B32" s="119" t="s">
        <v>81</v>
      </c>
      <c r="C32" s="120"/>
      <c r="D32" s="121"/>
      <c r="E32" s="1"/>
      <c r="F32" s="1"/>
    </row>
    <row r="33" spans="1:6" x14ac:dyDescent="0.25">
      <c r="A33" s="1"/>
      <c r="B33" s="83" t="s">
        <v>109</v>
      </c>
      <c r="C33" s="9">
        <v>2033222</v>
      </c>
      <c r="D33" s="14" t="s">
        <v>3</v>
      </c>
      <c r="E33" s="1"/>
      <c r="F33" s="1"/>
    </row>
    <row r="34" spans="1:6" x14ac:dyDescent="0.25">
      <c r="A34" s="1"/>
      <c r="B34" s="83" t="s">
        <v>123</v>
      </c>
      <c r="C34" s="9">
        <v>0</v>
      </c>
      <c r="D34" s="14" t="s">
        <v>3</v>
      </c>
      <c r="E34" s="1"/>
      <c r="F34" s="1"/>
    </row>
    <row r="35" spans="1:6" x14ac:dyDescent="0.25">
      <c r="A35" s="1"/>
      <c r="B35" s="83" t="s">
        <v>142</v>
      </c>
      <c r="C35" s="9">
        <v>0</v>
      </c>
      <c r="D35" s="14" t="s">
        <v>3</v>
      </c>
      <c r="E35" s="1"/>
      <c r="F35" s="1"/>
    </row>
    <row r="36" spans="1:6" x14ac:dyDescent="0.25">
      <c r="A36" s="1"/>
      <c r="B36" s="34" t="s">
        <v>261</v>
      </c>
      <c r="C36" s="9">
        <v>0</v>
      </c>
      <c r="D36" s="38" t="s">
        <v>3</v>
      </c>
      <c r="E36" s="1"/>
      <c r="F36" s="1"/>
    </row>
    <row r="37" spans="1:6" x14ac:dyDescent="0.25">
      <c r="A37" s="1"/>
      <c r="B37" s="119"/>
      <c r="C37" s="120"/>
      <c r="D37" s="12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uWNOP3uGSI8dhveb8M0Q475b/cEJtkJjGSNy9Pf6cFb4SZcXwOfDcaikgo19Eb0aC5zwEW0e9cJ6GCOZ54NGWg==" saltValue="eOGif0fxfzxO6i7/6hapW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D6400-D19B-4A18-9E23-5AF9423BA0E8}">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206</v>
      </c>
      <c r="C3" s="115"/>
      <c r="D3" s="115"/>
      <c r="E3" s="115"/>
      <c r="F3" s="115"/>
      <c r="G3" s="1"/>
    </row>
    <row r="4" spans="1:7" ht="15" customHeight="1" x14ac:dyDescent="0.25">
      <c r="A4" s="1"/>
      <c r="B4" s="115"/>
      <c r="C4" s="115"/>
      <c r="D4" s="115"/>
      <c r="E4" s="115"/>
      <c r="F4" s="115"/>
      <c r="G4" s="1"/>
    </row>
    <row r="5" spans="1:7" ht="15" customHeight="1" x14ac:dyDescent="0.25">
      <c r="A5" s="1"/>
      <c r="B5" s="76"/>
      <c r="C5" s="76"/>
      <c r="D5" s="76"/>
      <c r="E5" s="76"/>
      <c r="F5" s="76"/>
      <c r="G5" s="1"/>
    </row>
    <row r="6" spans="1:7" ht="15" customHeight="1" x14ac:dyDescent="0.25">
      <c r="A6" s="1"/>
      <c r="B6" s="76"/>
      <c r="C6" s="76"/>
      <c r="D6" s="76"/>
      <c r="E6" s="76"/>
      <c r="F6" s="76"/>
      <c r="G6" s="1"/>
    </row>
    <row r="7" spans="1:7" ht="15" customHeight="1" x14ac:dyDescent="0.25">
      <c r="A7" s="1"/>
      <c r="B7" s="1"/>
      <c r="C7" s="1"/>
      <c r="D7" s="1"/>
      <c r="E7" s="1"/>
      <c r="F7" s="1"/>
      <c r="G7" s="1"/>
    </row>
    <row r="8" spans="1:7" ht="15" customHeight="1" x14ac:dyDescent="0.25">
      <c r="A8" s="1"/>
      <c r="B8" s="119" t="s">
        <v>137</v>
      </c>
      <c r="C8" s="120"/>
      <c r="D8" s="120"/>
      <c r="E8" s="120"/>
      <c r="F8" s="121"/>
      <c r="G8" s="1"/>
    </row>
    <row r="9" spans="1:7" ht="15" customHeight="1" x14ac:dyDescent="0.25">
      <c r="A9" s="1"/>
      <c r="B9" s="122" t="s">
        <v>274</v>
      </c>
      <c r="C9" s="123"/>
      <c r="D9" s="124"/>
      <c r="E9" s="9">
        <v>2701239</v>
      </c>
      <c r="F9" s="14" t="s">
        <v>3</v>
      </c>
      <c r="G9" s="1"/>
    </row>
    <row r="10" spans="1:7" ht="15" customHeight="1" x14ac:dyDescent="0.25">
      <c r="A10" s="1"/>
      <c r="B10" s="122" t="s">
        <v>143</v>
      </c>
      <c r="C10" s="123"/>
      <c r="D10" s="124"/>
      <c r="E10" s="9">
        <v>-6781016</v>
      </c>
      <c r="F10" s="14" t="s">
        <v>3</v>
      </c>
      <c r="G10" s="1"/>
    </row>
    <row r="11" spans="1:7" ht="15" customHeight="1" x14ac:dyDescent="0.25">
      <c r="A11" s="1"/>
      <c r="B11" s="122" t="s">
        <v>275</v>
      </c>
      <c r="C11" s="123"/>
      <c r="D11" s="124"/>
      <c r="E11" s="9">
        <v>-6021394</v>
      </c>
      <c r="F11" s="14" t="s">
        <v>3</v>
      </c>
      <c r="G11" s="1"/>
    </row>
    <row r="12" spans="1:7" x14ac:dyDescent="0.25">
      <c r="A12" s="1"/>
      <c r="B12" s="33"/>
      <c r="C12" s="28"/>
      <c r="D12" s="28"/>
      <c r="E12" s="28"/>
      <c r="F12" s="19"/>
      <c r="G12" s="1"/>
    </row>
    <row r="13" spans="1:7" ht="42" customHeight="1" x14ac:dyDescent="0.25">
      <c r="A13" s="1"/>
      <c r="B13" s="116" t="s">
        <v>276</v>
      </c>
      <c r="C13" s="117"/>
      <c r="D13" s="117"/>
      <c r="E13" s="117"/>
      <c r="F13" s="118"/>
      <c r="G13" s="1"/>
    </row>
    <row r="14" spans="1:7" ht="15" customHeight="1" x14ac:dyDescent="0.25">
      <c r="A14" s="1"/>
      <c r="B14" s="1"/>
      <c r="C14" s="1"/>
      <c r="D14" s="1"/>
      <c r="E14" s="1"/>
      <c r="F14" s="1"/>
      <c r="G14" s="1"/>
    </row>
    <row r="15" spans="1:7" x14ac:dyDescent="0.25">
      <c r="A15" s="1"/>
      <c r="B15" s="77" t="s">
        <v>277</v>
      </c>
      <c r="C15" s="78"/>
      <c r="D15" s="78"/>
      <c r="E15" s="78"/>
      <c r="F15" s="79"/>
      <c r="G15" s="1"/>
    </row>
    <row r="16" spans="1:7" x14ac:dyDescent="0.25">
      <c r="A16" s="1"/>
      <c r="B16" s="80" t="s">
        <v>278</v>
      </c>
      <c r="C16" s="81"/>
      <c r="D16" s="82"/>
      <c r="E16" s="9">
        <f>IF(E11&lt;0,E11,0)</f>
        <v>-6021394</v>
      </c>
      <c r="F16" s="14" t="s">
        <v>3</v>
      </c>
      <c r="G16" s="1"/>
    </row>
    <row r="17" spans="1:7" x14ac:dyDescent="0.25">
      <c r="A17" s="1"/>
      <c r="B17" s="80" t="s">
        <v>279</v>
      </c>
      <c r="C17" s="81"/>
      <c r="D17" s="82"/>
      <c r="E17" s="9">
        <f>IF(SUM(E10)&gt;0,SUM(E10),0)</f>
        <v>0</v>
      </c>
      <c r="F17" s="14" t="s">
        <v>3</v>
      </c>
      <c r="G17" s="1"/>
    </row>
    <row r="18" spans="1:7" x14ac:dyDescent="0.25">
      <c r="A18" s="1"/>
      <c r="B18" s="84" t="s">
        <v>280</v>
      </c>
      <c r="C18" s="85"/>
      <c r="D18" s="86"/>
      <c r="E18" s="62">
        <f>IF(SUM(E16:E17)&gt;0,0,SUM(E16:E17))</f>
        <v>-6021394</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7" t="s">
        <v>281</v>
      </c>
      <c r="C21" s="78"/>
      <c r="D21" s="78"/>
      <c r="E21" s="78"/>
      <c r="F21" s="79"/>
      <c r="G21" s="1"/>
    </row>
    <row r="22" spans="1:7" x14ac:dyDescent="0.25">
      <c r="A22" s="1"/>
      <c r="B22" s="80" t="s">
        <v>282</v>
      </c>
      <c r="C22" s="81"/>
      <c r="D22" s="82"/>
      <c r="E22" s="9">
        <v>154857856</v>
      </c>
      <c r="F22" s="14" t="s">
        <v>3</v>
      </c>
      <c r="G22" s="1"/>
    </row>
    <row r="23" spans="1:7" x14ac:dyDescent="0.25">
      <c r="A23" s="1"/>
      <c r="B23" s="80" t="s">
        <v>283</v>
      </c>
      <c r="C23" s="81"/>
      <c r="D23" s="82"/>
      <c r="E23" s="9">
        <v>153181198</v>
      </c>
      <c r="F23" s="14" t="s">
        <v>3</v>
      </c>
      <c r="G23" s="1"/>
    </row>
    <row r="24" spans="1:7" x14ac:dyDescent="0.25">
      <c r="A24" s="1"/>
      <c r="B24" s="80" t="s">
        <v>30</v>
      </c>
      <c r="C24" s="81"/>
      <c r="D24" s="82"/>
      <c r="E24" s="9">
        <v>0</v>
      </c>
      <c r="F24" s="14" t="s">
        <v>3</v>
      </c>
      <c r="G24" s="1"/>
    </row>
    <row r="25" spans="1:7" x14ac:dyDescent="0.25">
      <c r="A25" s="1"/>
      <c r="B25" s="84" t="s">
        <v>284</v>
      </c>
      <c r="C25" s="85"/>
      <c r="D25" s="86"/>
      <c r="E25" s="62">
        <f>E22-E23-E24</f>
        <v>1676658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9" t="s">
        <v>285</v>
      </c>
      <c r="C28" s="120"/>
      <c r="D28" s="120"/>
      <c r="E28" s="120"/>
      <c r="F28" s="121"/>
      <c r="G28" s="1"/>
    </row>
    <row r="29" spans="1:7" x14ac:dyDescent="0.25">
      <c r="A29" s="1"/>
      <c r="B29" s="134" t="s">
        <v>116</v>
      </c>
      <c r="C29" s="135"/>
      <c r="D29" s="136"/>
      <c r="E29" s="9">
        <f>IF(E18&lt;0,IF(E25&lt;0,SUM(E18,E25),IF(E10&gt;0,SUM(E10:E11),E18)),IF(AND(E25&lt;0,SUM(E25,E11)&lt;0),IF(E11&lt;0,E25,IF(SUM(E10:E11)&gt;0,SUM(E25,E11),IF(AND(E25&lt;0,E18=0,E11&gt;0),IF(SUM(E9:E11)&gt;0,E25+E11,E25)))),0))</f>
        <v>-6021394</v>
      </c>
      <c r="F29" s="14" t="s">
        <v>3</v>
      </c>
      <c r="G29" s="1"/>
    </row>
    <row r="30" spans="1:7" x14ac:dyDescent="0.25">
      <c r="A30" s="1"/>
      <c r="B30" s="134" t="s">
        <v>84</v>
      </c>
      <c r="C30" s="135"/>
      <c r="D30" s="136"/>
      <c r="E30" s="9">
        <v>2</v>
      </c>
      <c r="F30" s="14" t="s">
        <v>20</v>
      </c>
      <c r="G30" s="1"/>
    </row>
    <row r="31" spans="1:7" x14ac:dyDescent="0.25">
      <c r="A31" s="1"/>
      <c r="B31" s="137" t="s">
        <v>117</v>
      </c>
      <c r="C31" s="138"/>
      <c r="D31" s="139"/>
      <c r="E31" s="10">
        <f>E29/E30</f>
        <v>-3010697</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xySIq7VsKMvve+bjLQ15CEthpVryU+DnuQa0409xByWagoKAwiH4D46Wb7FlCPIcsN9clxLax9kIm/gh+1sGKg==" saltValue="Kw43kSRMTKTK/+NiF3ELXg=="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70" zoomScaleNormal="100" zoomScalePageLayoutView="7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170</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189</v>
      </c>
      <c r="C8" s="120"/>
      <c r="D8" s="120"/>
      <c r="E8" s="120"/>
      <c r="F8" s="120"/>
      <c r="G8" s="120"/>
      <c r="H8" s="121"/>
      <c r="I8" s="1"/>
    </row>
    <row r="9" spans="1:9" ht="15" customHeight="1" x14ac:dyDescent="0.25">
      <c r="A9" s="1"/>
      <c r="B9" s="146" t="s">
        <v>171</v>
      </c>
      <c r="C9" s="147"/>
      <c r="D9" s="147"/>
      <c r="E9" s="147"/>
      <c r="F9" s="147"/>
      <c r="G9" s="147"/>
      <c r="H9" s="148"/>
      <c r="I9" s="1"/>
    </row>
    <row r="10" spans="1:9" x14ac:dyDescent="0.25">
      <c r="A10" s="1"/>
      <c r="B10" s="143" t="s">
        <v>172</v>
      </c>
      <c r="C10" s="144"/>
      <c r="D10" s="144"/>
      <c r="E10" s="144"/>
      <c r="F10" s="145"/>
      <c r="G10" s="9">
        <v>0</v>
      </c>
      <c r="H10" s="9" t="s">
        <v>3</v>
      </c>
      <c r="I10" s="1"/>
    </row>
    <row r="11" spans="1:9" x14ac:dyDescent="0.25">
      <c r="A11" s="1"/>
      <c r="B11" s="143" t="s">
        <v>173</v>
      </c>
      <c r="C11" s="144"/>
      <c r="D11" s="144"/>
      <c r="E11" s="144"/>
      <c r="F11" s="145"/>
      <c r="G11" s="9">
        <v>0</v>
      </c>
      <c r="H11" s="9" t="s">
        <v>3</v>
      </c>
      <c r="I11" s="1"/>
    </row>
    <row r="12" spans="1:9" x14ac:dyDescent="0.25">
      <c r="A12" s="1"/>
      <c r="B12" s="143" t="s">
        <v>174</v>
      </c>
      <c r="C12" s="144"/>
      <c r="D12" s="144"/>
      <c r="E12" s="144"/>
      <c r="F12" s="145"/>
      <c r="G12" s="9">
        <v>0</v>
      </c>
      <c r="H12" s="9" t="s">
        <v>3</v>
      </c>
      <c r="I12" s="1"/>
    </row>
    <row r="13" spans="1:9" x14ac:dyDescent="0.25">
      <c r="A13" s="1"/>
      <c r="B13" s="143" t="s">
        <v>175</v>
      </c>
      <c r="C13" s="144"/>
      <c r="D13" s="144"/>
      <c r="E13" s="144"/>
      <c r="F13" s="145"/>
      <c r="G13" s="9">
        <v>0</v>
      </c>
      <c r="H13" s="9" t="s">
        <v>3</v>
      </c>
      <c r="I13" s="1"/>
    </row>
    <row r="14" spans="1:9" x14ac:dyDescent="0.25">
      <c r="A14" s="1"/>
      <c r="B14" s="143" t="s">
        <v>176</v>
      </c>
      <c r="C14" s="144"/>
      <c r="D14" s="144"/>
      <c r="E14" s="144"/>
      <c r="F14" s="145"/>
      <c r="G14" s="9">
        <v>0</v>
      </c>
      <c r="H14" s="9" t="s">
        <v>3</v>
      </c>
      <c r="I14" s="1"/>
    </row>
    <row r="15" spans="1:9" x14ac:dyDescent="0.25">
      <c r="A15" s="1"/>
      <c r="B15" s="143" t="s">
        <v>177</v>
      </c>
      <c r="C15" s="144"/>
      <c r="D15" s="144"/>
      <c r="E15" s="144"/>
      <c r="F15" s="145"/>
      <c r="G15" s="9">
        <v>0</v>
      </c>
      <c r="H15" s="9" t="s">
        <v>3</v>
      </c>
      <c r="I15" s="1"/>
    </row>
    <row r="16" spans="1:9" x14ac:dyDescent="0.25">
      <c r="A16" s="1"/>
      <c r="B16" s="143" t="s">
        <v>178</v>
      </c>
      <c r="C16" s="144"/>
      <c r="D16" s="144"/>
      <c r="E16" s="144"/>
      <c r="F16" s="145"/>
      <c r="G16" s="9">
        <v>0</v>
      </c>
      <c r="H16" s="9" t="s">
        <v>3</v>
      </c>
      <c r="I16" s="1"/>
    </row>
    <row r="17" spans="1:9" x14ac:dyDescent="0.25">
      <c r="A17" s="1"/>
      <c r="B17" s="143" t="s">
        <v>179</v>
      </c>
      <c r="C17" s="144"/>
      <c r="D17" s="144"/>
      <c r="E17" s="144"/>
      <c r="F17" s="145"/>
      <c r="G17" s="9">
        <v>0</v>
      </c>
      <c r="H17" s="9" t="s">
        <v>3</v>
      </c>
      <c r="I17" s="1"/>
    </row>
    <row r="18" spans="1:9" x14ac:dyDescent="0.25">
      <c r="A18" s="1"/>
      <c r="B18" s="119" t="s">
        <v>180</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qdr5fl2+YJkAIZNKUyNXS+g3JQ3eMdF/7QCGzevy9Wkraj+KrXL4pZFz6jtAfZ8tM6AubB226yH9Qr2xlgw17g==" saltValue="dbzSrUzoy00m8OMq14wpWw=="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55" zoomScaleNormal="100" zoomScalePageLayoutView="55"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207</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9" t="s">
        <v>228</v>
      </c>
      <c r="C9" s="120"/>
      <c r="D9" s="120"/>
      <c r="E9" s="120"/>
      <c r="F9" s="121"/>
      <c r="G9" s="1"/>
    </row>
    <row r="10" spans="1:7" x14ac:dyDescent="0.25">
      <c r="A10" s="1"/>
      <c r="B10" s="116" t="s">
        <v>82</v>
      </c>
      <c r="C10" s="117"/>
      <c r="D10" s="118"/>
      <c r="E10" s="7">
        <v>0</v>
      </c>
      <c r="F10" s="8" t="s">
        <v>3</v>
      </c>
      <c r="G10" s="1"/>
    </row>
    <row r="11" spans="1:7" x14ac:dyDescent="0.25">
      <c r="A11" s="1"/>
      <c r="B11" s="122" t="s">
        <v>229</v>
      </c>
      <c r="C11" s="123"/>
      <c r="D11" s="124"/>
      <c r="E11" s="7">
        <v>0</v>
      </c>
      <c r="F11" s="8" t="s">
        <v>3</v>
      </c>
      <c r="G11" s="1"/>
    </row>
    <row r="12" spans="1:7" x14ac:dyDescent="0.25">
      <c r="A12" s="1"/>
      <c r="B12" s="137" t="s">
        <v>83</v>
      </c>
      <c r="C12" s="138"/>
      <c r="D12" s="139"/>
      <c r="E12" s="10">
        <f>E11-E10</f>
        <v>0</v>
      </c>
      <c r="F12" s="11" t="s">
        <v>3</v>
      </c>
      <c r="G12" s="1"/>
    </row>
    <row r="13" spans="1:7" x14ac:dyDescent="0.25">
      <c r="A13" s="1"/>
      <c r="B13" s="119" t="s">
        <v>78</v>
      </c>
      <c r="C13" s="120"/>
      <c r="D13" s="120"/>
      <c r="E13" s="120"/>
      <c r="F13" s="121"/>
      <c r="G13" s="1"/>
    </row>
    <row r="14" spans="1:7" x14ac:dyDescent="0.25">
      <c r="A14" s="1"/>
      <c r="B14" s="122" t="s">
        <v>230</v>
      </c>
      <c r="C14" s="123"/>
      <c r="D14" s="124"/>
      <c r="E14" s="7">
        <v>0</v>
      </c>
      <c r="F14" s="8" t="s">
        <v>3</v>
      </c>
      <c r="G14" s="1"/>
    </row>
    <row r="15" spans="1:7" x14ac:dyDescent="0.25">
      <c r="A15" s="1"/>
      <c r="B15" s="116" t="s">
        <v>231</v>
      </c>
      <c r="C15" s="117"/>
      <c r="D15" s="118"/>
      <c r="E15" s="7">
        <v>0</v>
      </c>
      <c r="F15" s="8" t="s">
        <v>3</v>
      </c>
      <c r="G15" s="1"/>
    </row>
    <row r="16" spans="1:7" x14ac:dyDescent="0.25">
      <c r="A16" s="1"/>
      <c r="B16" s="137" t="s">
        <v>83</v>
      </c>
      <c r="C16" s="138"/>
      <c r="D16" s="139"/>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OfwLMFSDjlDFBbWxLqG1mOKNGlbFpOSQf8jYevZHQbe5Co7WDAdr3Rw4OGboar+ZY7Q7TdvI81ROkDIgno+MQ==" saltValue="nzsyle0UE9On1YYMKlZPm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55" zoomScaleNormal="100" zoomScalePageLayoutView="55"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182</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149</v>
      </c>
      <c r="C8" s="120"/>
      <c r="D8" s="120"/>
      <c r="E8" s="120"/>
      <c r="F8" s="120"/>
      <c r="G8" s="120"/>
      <c r="H8" s="120"/>
      <c r="I8" s="120"/>
      <c r="J8" s="120"/>
      <c r="K8" s="121"/>
      <c r="L8" s="1"/>
    </row>
    <row r="9" spans="1:12" ht="39.75" customHeight="1" x14ac:dyDescent="0.25">
      <c r="A9" s="1"/>
      <c r="B9" s="18" t="s">
        <v>0</v>
      </c>
      <c r="C9" s="18" t="s">
        <v>1</v>
      </c>
      <c r="D9" s="149" t="s">
        <v>165</v>
      </c>
      <c r="E9" s="150"/>
      <c r="F9" s="149" t="s">
        <v>2</v>
      </c>
      <c r="G9" s="150"/>
      <c r="H9" s="149" t="s">
        <v>164</v>
      </c>
      <c r="I9" s="150"/>
      <c r="J9" s="149" t="s">
        <v>27</v>
      </c>
      <c r="K9" s="150"/>
      <c r="L9" s="1"/>
    </row>
    <row r="10" spans="1:12" x14ac:dyDescent="0.25">
      <c r="A10" s="1"/>
      <c r="B10" s="87" t="s">
        <v>265</v>
      </c>
      <c r="C10" s="45">
        <v>0</v>
      </c>
      <c r="D10" s="9">
        <v>0</v>
      </c>
      <c r="E10" s="14" t="s">
        <v>3</v>
      </c>
      <c r="F10" s="9">
        <f>IFERROR(D10/C10,0)</f>
        <v>0</v>
      </c>
      <c r="G10" s="14" t="s">
        <v>3</v>
      </c>
      <c r="H10" s="41">
        <v>0</v>
      </c>
      <c r="I10" s="14" t="s">
        <v>3</v>
      </c>
      <c r="J10" s="41">
        <v>0</v>
      </c>
      <c r="K10" s="14" t="s">
        <v>3</v>
      </c>
      <c r="L10" s="1"/>
    </row>
    <row r="11" spans="1:12" x14ac:dyDescent="0.25">
      <c r="A11" s="1"/>
      <c r="B11" s="77" t="s">
        <v>150</v>
      </c>
      <c r="C11" s="78"/>
      <c r="D11" s="79"/>
      <c r="E11" s="79"/>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fMfbjYEx7DF5W0bM8TCvuzRhNYDFIRHXvs9APXXA5rhzDg1qbAxq6xxtSfY85WGFwRkJzcWmV+Hze7ddrwYijw==" saltValue="IrKf8Bx3d2x24LsR8Je6L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80" zoomScaleNormal="100" zoomScalePageLayoutView="8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183</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8" t="s">
        <v>17</v>
      </c>
      <c r="C9" s="88" t="s">
        <v>11</v>
      </c>
      <c r="D9" s="89"/>
      <c r="E9" s="88"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272</v>
      </c>
      <c r="C11" s="21">
        <v>142309</v>
      </c>
      <c r="D11" s="14" t="s">
        <v>3</v>
      </c>
      <c r="E11" s="9">
        <v>325091</v>
      </c>
      <c r="F11" s="14" t="s">
        <v>3</v>
      </c>
      <c r="G11" s="1"/>
    </row>
    <row r="12" spans="1:7" x14ac:dyDescent="0.25">
      <c r="A12" s="1"/>
      <c r="B12" s="24" t="s">
        <v>273</v>
      </c>
      <c r="C12" s="21">
        <v>206798</v>
      </c>
      <c r="D12" s="14" t="s">
        <v>3</v>
      </c>
      <c r="E12" s="9">
        <v>369914</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349107</v>
      </c>
      <c r="D19" s="13" t="s">
        <v>3</v>
      </c>
      <c r="E19" s="12">
        <f>SUM(E10:E18)</f>
        <v>695005</v>
      </c>
      <c r="F19" s="13" t="s">
        <v>3</v>
      </c>
      <c r="G19" s="1"/>
    </row>
    <row r="20" spans="1:7" x14ac:dyDescent="0.25">
      <c r="A20" s="1"/>
      <c r="B20" s="33" t="s">
        <v>233</v>
      </c>
      <c r="C20" s="12">
        <f>C19*(1+'Fane 15. Nøgletal'!C16)</f>
        <v>377314.8456</v>
      </c>
      <c r="D20" s="13" t="s">
        <v>3</v>
      </c>
      <c r="E20" s="12">
        <f>E19*(1+'Fane 15. Nøgletal'!C16)</f>
        <v>751161.40399999998</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xwwd+Vx8NKjbMLCtNH2Evc289wrYZoIg/KRDHW9eyghBVqt2rUmNk9JjC8H2o12eSzgqPb3c1vCJLEzJ4K4Cg==" saltValue="AZvT4Z3LlFaoUiSBSMC7t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110" zoomScaleNormal="100" zoomScalePageLayoutView="11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184</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260</v>
      </c>
      <c r="C8" s="120"/>
      <c r="D8" s="120"/>
      <c r="E8" s="120"/>
      <c r="F8" s="121"/>
      <c r="G8" s="1"/>
    </row>
    <row r="9" spans="1:7" x14ac:dyDescent="0.25">
      <c r="A9" s="1"/>
      <c r="B9" s="88" t="s">
        <v>17</v>
      </c>
      <c r="C9" s="88" t="s">
        <v>11</v>
      </c>
      <c r="D9" s="89"/>
      <c r="E9" s="88"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1"/>
      <c r="C16" s="151"/>
      <c r="D16" s="151"/>
      <c r="E16" s="151"/>
      <c r="F16" s="151"/>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1"/>
      <c r="C23" s="151"/>
      <c r="D23" s="151"/>
      <c r="E23" s="151"/>
      <c r="F23" s="151"/>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1"/>
      <c r="C30" s="151"/>
      <c r="D30" s="151"/>
      <c r="E30" s="151"/>
      <c r="F30" s="151"/>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9US26aXk36EHIx5BVNgKqoOJRX7RBpeVvJQD2l2rO8ue4o9mO7jbw/30er87QkFRDl0jIZ7UYI9SMVQaTONTA==" saltValue="w/4HkiqgNxrvrme5namxr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185</v>
      </c>
      <c r="C3" s="115"/>
      <c r="D3" s="115"/>
      <c r="E3" s="115"/>
      <c r="F3" s="115"/>
      <c r="G3" s="1"/>
    </row>
    <row r="4" spans="1:7" ht="15" customHeight="1" x14ac:dyDescent="0.25">
      <c r="A4" s="1"/>
      <c r="B4" s="115"/>
      <c r="C4" s="115"/>
      <c r="D4" s="115"/>
      <c r="E4" s="115"/>
      <c r="F4" s="115"/>
      <c r="G4" s="1"/>
    </row>
    <row r="5" spans="1:7" x14ac:dyDescent="0.25">
      <c r="A5" s="1"/>
      <c r="B5" s="115"/>
      <c r="C5" s="115"/>
      <c r="D5" s="115"/>
      <c r="E5" s="115"/>
      <c r="F5" s="11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9" t="s">
        <v>110</v>
      </c>
      <c r="C9" s="120"/>
      <c r="D9" s="120"/>
      <c r="E9" s="120"/>
      <c r="F9" s="121"/>
      <c r="G9" s="1"/>
    </row>
    <row r="10" spans="1:7" x14ac:dyDescent="0.25">
      <c r="A10" s="1"/>
      <c r="B10" s="143" t="s">
        <v>236</v>
      </c>
      <c r="C10" s="144"/>
      <c r="D10" s="145"/>
      <c r="E10" s="9">
        <v>0</v>
      </c>
      <c r="F10" s="14" t="s">
        <v>3</v>
      </c>
      <c r="G10" s="1"/>
    </row>
    <row r="11" spans="1:7" x14ac:dyDescent="0.25">
      <c r="A11" s="1"/>
      <c r="B11" s="152" t="s">
        <v>10</v>
      </c>
      <c r="C11" s="153"/>
      <c r="D11" s="154"/>
      <c r="E11" s="9">
        <f>-E10*'Fane 5. Individuelt eff. krav'!G9</f>
        <v>0</v>
      </c>
      <c r="F11" s="14" t="s">
        <v>3</v>
      </c>
      <c r="G11" s="1"/>
    </row>
    <row r="12" spans="1:7" x14ac:dyDescent="0.25">
      <c r="A12" s="1"/>
      <c r="B12" s="152" t="s">
        <v>23</v>
      </c>
      <c r="C12" s="153"/>
      <c r="D12" s="154"/>
      <c r="E12" s="9">
        <f>-E10*'Fane 15. Nøgletal'!C33</f>
        <v>0</v>
      </c>
      <c r="F12" s="14" t="s">
        <v>3</v>
      </c>
      <c r="G12" s="1"/>
    </row>
    <row r="13" spans="1:7" x14ac:dyDescent="0.25">
      <c r="A13" s="1"/>
      <c r="B13" s="119" t="s">
        <v>111</v>
      </c>
      <c r="C13" s="120"/>
      <c r="D13" s="121"/>
      <c r="E13" s="12">
        <f>SUM(E10:E12)*(1+'Fane 15. Nøgletal'!C16)^2</f>
        <v>0</v>
      </c>
      <c r="F13" s="13" t="s">
        <v>3</v>
      </c>
      <c r="G13" s="1"/>
    </row>
    <row r="14" spans="1:7" x14ac:dyDescent="0.25">
      <c r="A14" s="1"/>
      <c r="B14" s="1"/>
      <c r="C14" s="1"/>
      <c r="D14" s="1"/>
      <c r="E14" s="1"/>
      <c r="F14" s="1"/>
      <c r="G14" s="1"/>
    </row>
    <row r="15" spans="1:7" ht="15" customHeight="1" x14ac:dyDescent="0.25">
      <c r="A15" s="1"/>
      <c r="B15" s="119" t="s">
        <v>124</v>
      </c>
      <c r="C15" s="120"/>
      <c r="D15" s="120"/>
      <c r="E15" s="120"/>
      <c r="F15" s="121"/>
      <c r="G15" s="1"/>
    </row>
    <row r="16" spans="1:7" x14ac:dyDescent="0.25">
      <c r="A16" s="1"/>
      <c r="B16" s="143" t="s">
        <v>236</v>
      </c>
      <c r="C16" s="144"/>
      <c r="D16" s="145"/>
      <c r="E16" s="9">
        <v>0</v>
      </c>
      <c r="F16" s="14" t="s">
        <v>3</v>
      </c>
      <c r="G16" s="1"/>
    </row>
    <row r="17" spans="1:7" x14ac:dyDescent="0.25">
      <c r="A17" s="1"/>
      <c r="B17" s="152" t="s">
        <v>10</v>
      </c>
      <c r="C17" s="153"/>
      <c r="D17" s="154"/>
      <c r="E17" s="9">
        <f>-E16*'Fane 5. Individuelt eff. krav'!G9</f>
        <v>0</v>
      </c>
      <c r="F17" s="14" t="s">
        <v>3</v>
      </c>
      <c r="G17" s="1"/>
    </row>
    <row r="18" spans="1:7" x14ac:dyDescent="0.25">
      <c r="A18" s="1"/>
      <c r="B18" s="152" t="s">
        <v>23</v>
      </c>
      <c r="C18" s="153"/>
      <c r="D18" s="154"/>
      <c r="E18" s="9">
        <f>-E16*'Fane 15. Nøgletal'!C33</f>
        <v>0</v>
      </c>
      <c r="F18" s="14" t="s">
        <v>3</v>
      </c>
      <c r="G18" s="1"/>
    </row>
    <row r="19" spans="1:7" x14ac:dyDescent="0.25">
      <c r="A19" s="1"/>
      <c r="B19" s="119" t="s">
        <v>125</v>
      </c>
      <c r="C19" s="120"/>
      <c r="D19" s="121"/>
      <c r="E19" s="12">
        <f>SUM(E16:E18)*(1+'Fane 15. Nøgletal'!C16)^3</f>
        <v>0</v>
      </c>
      <c r="F19" s="13" t="s">
        <v>3</v>
      </c>
      <c r="G19" s="1"/>
    </row>
    <row r="20" spans="1:7" x14ac:dyDescent="0.25">
      <c r="A20" s="1"/>
      <c r="B20" s="1"/>
      <c r="C20" s="1"/>
      <c r="D20" s="1"/>
      <c r="E20" s="1"/>
      <c r="F20" s="1"/>
      <c r="G20" s="1"/>
    </row>
    <row r="21" spans="1:7" ht="15" customHeight="1" x14ac:dyDescent="0.25">
      <c r="A21" s="1"/>
      <c r="B21" s="119" t="s">
        <v>145</v>
      </c>
      <c r="C21" s="120"/>
      <c r="D21" s="120"/>
      <c r="E21" s="120"/>
      <c r="F21" s="121"/>
      <c r="G21" s="1"/>
    </row>
    <row r="22" spans="1:7" x14ac:dyDescent="0.25">
      <c r="A22" s="1"/>
      <c r="B22" s="143" t="s">
        <v>236</v>
      </c>
      <c r="C22" s="144"/>
      <c r="D22" s="145"/>
      <c r="E22" s="9">
        <v>0</v>
      </c>
      <c r="F22" s="14" t="s">
        <v>3</v>
      </c>
      <c r="G22" s="1"/>
    </row>
    <row r="23" spans="1:7" x14ac:dyDescent="0.25">
      <c r="A23" s="1"/>
      <c r="B23" s="152" t="s">
        <v>10</v>
      </c>
      <c r="C23" s="153"/>
      <c r="D23" s="154"/>
      <c r="E23" s="9">
        <f>-E22*'Fane 5. Individuelt eff. krav'!G9</f>
        <v>0</v>
      </c>
      <c r="F23" s="14" t="s">
        <v>3</v>
      </c>
      <c r="G23" s="1"/>
    </row>
    <row r="24" spans="1:7" x14ac:dyDescent="0.25">
      <c r="A24" s="1"/>
      <c r="B24" s="152" t="s">
        <v>23</v>
      </c>
      <c r="C24" s="153"/>
      <c r="D24" s="154"/>
      <c r="E24" s="9">
        <f>-E22*'Fane 15. Nøgletal'!C33</f>
        <v>0</v>
      </c>
      <c r="F24" s="14" t="s">
        <v>3</v>
      </c>
      <c r="G24" s="1"/>
    </row>
    <row r="25" spans="1:7" x14ac:dyDescent="0.25">
      <c r="A25" s="1"/>
      <c r="B25" s="119" t="s">
        <v>146</v>
      </c>
      <c r="C25" s="120"/>
      <c r="D25" s="121"/>
      <c r="E25" s="12">
        <f>SUM(E22:E24)*(1+'Fane 15. Nøgletal'!C16)^4</f>
        <v>0</v>
      </c>
      <c r="F25" s="13" t="s">
        <v>3</v>
      </c>
      <c r="G25" s="1"/>
    </row>
    <row r="26" spans="1:7" x14ac:dyDescent="0.25">
      <c r="A26" s="1"/>
      <c r="B26" s="1"/>
      <c r="C26" s="1"/>
      <c r="D26" s="1"/>
      <c r="E26" s="1"/>
      <c r="F26" s="1"/>
      <c r="G26" s="1"/>
    </row>
    <row r="27" spans="1:7" ht="15" customHeight="1" x14ac:dyDescent="0.25">
      <c r="A27" s="1"/>
      <c r="B27" s="119" t="s">
        <v>237</v>
      </c>
      <c r="C27" s="120"/>
      <c r="D27" s="120"/>
      <c r="E27" s="120"/>
      <c r="F27" s="121"/>
      <c r="G27" s="1"/>
    </row>
    <row r="28" spans="1:7" ht="14.25" customHeight="1" x14ac:dyDescent="0.25">
      <c r="A28" s="1"/>
      <c r="B28" s="143" t="s">
        <v>236</v>
      </c>
      <c r="C28" s="144"/>
      <c r="D28" s="145"/>
      <c r="E28" s="9">
        <v>0</v>
      </c>
      <c r="F28" s="14" t="s">
        <v>3</v>
      </c>
      <c r="G28" s="1"/>
    </row>
    <row r="29" spans="1:7" x14ac:dyDescent="0.25">
      <c r="A29" s="1"/>
      <c r="B29" s="152" t="s">
        <v>10</v>
      </c>
      <c r="C29" s="153"/>
      <c r="D29" s="154"/>
      <c r="E29" s="9">
        <f>-E28*'Fane 5. Individuelt eff. krav'!G9</f>
        <v>0</v>
      </c>
      <c r="F29" s="14" t="s">
        <v>3</v>
      </c>
      <c r="G29" s="1"/>
    </row>
    <row r="30" spans="1:7" x14ac:dyDescent="0.25">
      <c r="A30" s="1"/>
      <c r="B30" s="152" t="s">
        <v>23</v>
      </c>
      <c r="C30" s="153"/>
      <c r="D30" s="154"/>
      <c r="E30" s="9">
        <f>-E28*'Fane 15. Nøgletal'!C33</f>
        <v>0</v>
      </c>
      <c r="F30" s="14" t="s">
        <v>3</v>
      </c>
      <c r="G30" s="1"/>
    </row>
    <row r="31" spans="1:7" x14ac:dyDescent="0.25">
      <c r="A31" s="1"/>
      <c r="B31" s="119" t="s">
        <v>238</v>
      </c>
      <c r="C31" s="120"/>
      <c r="D31" s="121"/>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9S36cGRYNU3uNVW7jCskH+EfrWR9Sg7UzeQKPvbgfk0BqaSWt8aor9o4eeNWEOYTSMGQXLKl6yJlWyTJdQidg==" saltValue="BOigIgHZPYP5HJFp7qFa0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55" zoomScaleNormal="100" zoomScalePageLayoutView="55"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186</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31" t="s">
        <v>113</v>
      </c>
      <c r="C9" s="31" t="s">
        <v>11</v>
      </c>
      <c r="D9" s="32"/>
      <c r="E9" s="31" t="s">
        <v>28</v>
      </c>
      <c r="F9" s="32"/>
      <c r="G9" s="1"/>
    </row>
    <row r="10" spans="1:7" ht="26.25" x14ac:dyDescent="0.25">
      <c r="A10" s="1"/>
      <c r="B10" s="69"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lTq/2E6PaG8OitYl9A7/kX+xem0e02I5TTlr+3KDOZPGTM6LsJfTeewdo1oOLal2S8E0dnAVMjtCFKCyQo2X+w==" saltValue="rtaIw9mlBAt4UPPzoZfZ3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187</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9" t="s">
        <v>240</v>
      </c>
      <c r="C9" s="120"/>
      <c r="D9" s="120"/>
      <c r="E9" s="120"/>
      <c r="F9" s="121"/>
      <c r="G9" s="1"/>
    </row>
    <row r="10" spans="1:7" ht="26.25" customHeight="1" x14ac:dyDescent="0.25">
      <c r="A10" s="1"/>
      <c r="B10" s="31" t="s">
        <v>18</v>
      </c>
      <c r="C10" s="146" t="s">
        <v>11</v>
      </c>
      <c r="D10" s="148"/>
      <c r="E10" s="146" t="s">
        <v>28</v>
      </c>
      <c r="F10" s="148"/>
      <c r="G10" s="1"/>
    </row>
    <row r="11" spans="1:7" x14ac:dyDescent="0.25">
      <c r="A11" s="1"/>
      <c r="B11" s="69"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1"/>
      <c r="C15" s="151"/>
      <c r="D15" s="151"/>
      <c r="E15" s="151"/>
      <c r="F15" s="151"/>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1"/>
      <c r="C21" s="151"/>
      <c r="D21" s="151"/>
      <c r="E21" s="151"/>
      <c r="F21" s="151"/>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1"/>
      <c r="C27" s="151"/>
      <c r="D27" s="151"/>
      <c r="E27" s="151"/>
      <c r="F27" s="151"/>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WMF8XkcOJdtaFDiKdHTihUqshvus4WjdqYlwt3Wo/tTQz6MUHb9XGC2fCyZryJ0BD8jQ8l+aOt9ybqWbX9nLCA==" saltValue="JDaewqwrsxpHmuf1JHR6V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201</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144678828.61224586</v>
      </c>
      <c r="D9" s="8" t="s">
        <v>3</v>
      </c>
      <c r="E9" s="1"/>
    </row>
    <row r="10" spans="1:5" ht="17.25" customHeight="1" x14ac:dyDescent="0.25">
      <c r="A10" s="1"/>
      <c r="B10" s="90" t="s">
        <v>36</v>
      </c>
      <c r="C10" s="7">
        <f>'Fane 11.1. Varige tillæg'!C20</f>
        <v>377314.8456</v>
      </c>
      <c r="D10" s="8" t="s">
        <v>3</v>
      </c>
      <c r="E10" s="1"/>
    </row>
    <row r="11" spans="1:5" ht="17.25" customHeight="1" x14ac:dyDescent="0.25">
      <c r="A11" s="1"/>
      <c r="B11" s="90" t="s">
        <v>37</v>
      </c>
      <c r="C11" s="9">
        <f>'Fane 11.1. Varige tillæg'!E20</f>
        <v>751161.40399999998</v>
      </c>
      <c r="D11" s="8" t="s">
        <v>3</v>
      </c>
      <c r="E11" s="1"/>
    </row>
    <row r="12" spans="1:5" ht="17.25" customHeight="1" x14ac:dyDescent="0.25">
      <c r="A12" s="1"/>
      <c r="B12" s="90" t="s">
        <v>26</v>
      </c>
      <c r="C12" s="9">
        <f>-'Fane 14. Bortfald'!C13</f>
        <v>0</v>
      </c>
      <c r="D12" s="8" t="s">
        <v>3</v>
      </c>
      <c r="E12" s="1"/>
    </row>
    <row r="13" spans="1:5" ht="17.25" customHeight="1" x14ac:dyDescent="0.25">
      <c r="A13" s="1"/>
      <c r="B13" s="90" t="s">
        <v>25</v>
      </c>
      <c r="C13" s="9">
        <f>-'Fane 14. Bortfald'!E13</f>
        <v>0</v>
      </c>
      <c r="D13" s="8" t="s">
        <v>3</v>
      </c>
      <c r="E13" s="1"/>
    </row>
    <row r="14" spans="1:5" ht="17.25" customHeight="1" x14ac:dyDescent="0.25">
      <c r="A14" s="1"/>
      <c r="B14" s="90" t="s">
        <v>105</v>
      </c>
      <c r="C14" s="9">
        <f>'Fane 13. Tilknyttet virksomhed'!C14</f>
        <v>0</v>
      </c>
      <c r="D14" s="8" t="s">
        <v>3</v>
      </c>
      <c r="E14" s="1"/>
    </row>
    <row r="15" spans="1:5" ht="17.25" customHeight="1" x14ac:dyDescent="0.25">
      <c r="A15" s="1"/>
      <c r="B15" s="90" t="s">
        <v>106</v>
      </c>
      <c r="C15" s="9">
        <f>'Fane 13. Tilknyttet virksomhed'!E14</f>
        <v>0</v>
      </c>
      <c r="D15" s="8" t="s">
        <v>3</v>
      </c>
      <c r="E15" s="1"/>
    </row>
    <row r="16" spans="1:5" ht="17.25" customHeight="1" x14ac:dyDescent="0.25">
      <c r="A16" s="1"/>
      <c r="B16" s="90" t="s">
        <v>19</v>
      </c>
      <c r="C16" s="41">
        <f>SUM(C9)*'Fane 15. Nøgletal'!C16+SUM(C10:C15)*'Fane 15. Nøgletal'!C16</f>
        <v>11781230.232837144</v>
      </c>
      <c r="D16" s="8" t="s">
        <v>3</v>
      </c>
      <c r="E16" s="1"/>
    </row>
    <row r="17" spans="1:5" ht="17.25" customHeight="1" x14ac:dyDescent="0.25">
      <c r="A17" s="1"/>
      <c r="B17" s="90" t="s">
        <v>10</v>
      </c>
      <c r="C17" s="41">
        <f>-SUM(C9,C10:C16)*'Fane 5. Individuelt eff. krav'!G9</f>
        <v>0</v>
      </c>
      <c r="D17" s="8" t="s">
        <v>3</v>
      </c>
      <c r="E17" s="1"/>
    </row>
    <row r="18" spans="1:5" ht="17.25" customHeight="1" x14ac:dyDescent="0.25">
      <c r="A18" s="1"/>
      <c r="B18" s="90" t="s">
        <v>23</v>
      </c>
      <c r="C18" s="41">
        <f>-'Fane 4.1. Gen. krav - drift'!G54</f>
        <v>-980773.35097696842</v>
      </c>
      <c r="D18" s="8" t="s">
        <v>3</v>
      </c>
      <c r="E18" s="1"/>
    </row>
    <row r="19" spans="1:5" ht="17.25" customHeight="1" x14ac:dyDescent="0.25">
      <c r="A19" s="1"/>
      <c r="B19" s="90" t="s">
        <v>24</v>
      </c>
      <c r="C19" s="41">
        <f>-'Fane 4.2. Gen. krav - anlæg'!G55</f>
        <v>0</v>
      </c>
      <c r="D19" s="8" t="s">
        <v>3</v>
      </c>
      <c r="E19" s="47"/>
    </row>
    <row r="20" spans="1:5" ht="17.25" customHeight="1" x14ac:dyDescent="0.25">
      <c r="A20" s="1"/>
      <c r="B20" s="84" t="s">
        <v>21</v>
      </c>
      <c r="C20" s="10">
        <f>SUM(C9:C19)</f>
        <v>156607761.74370605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5487335.1677203197</v>
      </c>
      <c r="D22" s="11" t="s">
        <v>3</v>
      </c>
      <c r="E22" s="1"/>
    </row>
    <row r="23" spans="1:5" ht="15" customHeight="1" x14ac:dyDescent="0.25">
      <c r="A23" s="1"/>
      <c r="B23" s="33" t="s">
        <v>74</v>
      </c>
      <c r="C23" s="28"/>
      <c r="D23" s="19"/>
      <c r="E23" s="1"/>
    </row>
    <row r="24" spans="1:5" ht="15" customHeight="1" x14ac:dyDescent="0.25">
      <c r="A24" s="1"/>
      <c r="B24" s="84"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90" t="s">
        <v>158</v>
      </c>
      <c r="C26" s="73">
        <f>'Fane 11.2. Engangstillæg'!C14</f>
        <v>0</v>
      </c>
      <c r="D26" s="8" t="s">
        <v>3</v>
      </c>
      <c r="E26" s="1"/>
    </row>
    <row r="27" spans="1:5" ht="15" customHeight="1" x14ac:dyDescent="0.25">
      <c r="A27" s="1"/>
      <c r="B27" s="90" t="s">
        <v>70</v>
      </c>
      <c r="C27" s="73">
        <f>'Fane 11.2. Engangstillæg'!E14</f>
        <v>0</v>
      </c>
      <c r="D27" s="8" t="s">
        <v>3</v>
      </c>
      <c r="E27" s="1"/>
    </row>
    <row r="28" spans="1:5" ht="15" customHeight="1" x14ac:dyDescent="0.25">
      <c r="A28" s="1"/>
      <c r="B28" s="90" t="s">
        <v>161</v>
      </c>
      <c r="C28" s="73">
        <f>-C26*('Fane 15. Nøgletal'!C33+'Fane 5. Individuelt eff. krav'!G9)</f>
        <v>0</v>
      </c>
      <c r="D28" s="8" t="s">
        <v>3</v>
      </c>
      <c r="E28" s="1"/>
    </row>
    <row r="29" spans="1:5" ht="15" customHeight="1" x14ac:dyDescent="0.25">
      <c r="A29" s="1"/>
      <c r="B29" s="90" t="s">
        <v>162</v>
      </c>
      <c r="C29" s="73">
        <f>-C27*('Fane 15. Nøgletal'!C28+'Fane 5. Individuelt eff. krav'!G9)</f>
        <v>0</v>
      </c>
      <c r="D29" s="8" t="s">
        <v>3</v>
      </c>
      <c r="E29" s="1"/>
    </row>
    <row r="30" spans="1:5" ht="15" customHeight="1" x14ac:dyDescent="0.25">
      <c r="A30" s="1"/>
      <c r="B30" s="68"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-3010697</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8" t="s">
        <v>136</v>
      </c>
      <c r="C36" s="10">
        <f>'Fane 8. Skattesagen'!G13</f>
        <v>0</v>
      </c>
      <c r="D36" s="11" t="s">
        <v>3</v>
      </c>
      <c r="E36" s="1"/>
    </row>
    <row r="37" spans="1:5" x14ac:dyDescent="0.25">
      <c r="A37" s="1"/>
      <c r="B37" s="30" t="s">
        <v>292</v>
      </c>
      <c r="C37" s="28"/>
      <c r="D37" s="19"/>
      <c r="E37" s="1"/>
    </row>
    <row r="38" spans="1:5" x14ac:dyDescent="0.25">
      <c r="A38" s="1"/>
      <c r="B38" s="68" t="s">
        <v>293</v>
      </c>
      <c r="C38" s="10">
        <v>3455843.7877240889</v>
      </c>
      <c r="D38" s="11" t="s">
        <v>3</v>
      </c>
      <c r="E38" s="1"/>
    </row>
    <row r="39" spans="1:5" x14ac:dyDescent="0.25">
      <c r="A39" s="1"/>
      <c r="B39" s="33" t="s">
        <v>108</v>
      </c>
      <c r="C39" s="49">
        <f>SUM(C34,C32,C24,C30,C22,C20,C36,C38)</f>
        <v>162540243.69915044</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prEZQjoWBZH+qlnogii+6tXadTIp87CB5oPc/F2Rs7ZwN4O+UKs2fX+asAOUroqjRUptTwG07X75BlCMbEJhUA==" saltValue="u9mAl/JMbDrqWdNoP9IrH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5" t="s">
        <v>188</v>
      </c>
      <c r="C3" s="115"/>
      <c r="D3" s="1"/>
    </row>
    <row r="4" spans="1:4" ht="25.5" customHeight="1" x14ac:dyDescent="0.25">
      <c r="A4" s="1"/>
      <c r="B4" s="115"/>
      <c r="C4" s="11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3" t="s">
        <v>94</v>
      </c>
      <c r="C9" s="25">
        <v>1.2699999999999999E-2</v>
      </c>
      <c r="D9" s="1"/>
    </row>
    <row r="10" spans="1:4" x14ac:dyDescent="0.25">
      <c r="A10" s="1"/>
      <c r="B10" s="83" t="s">
        <v>95</v>
      </c>
      <c r="C10" s="25">
        <v>1.7500000000000002E-2</v>
      </c>
      <c r="D10" s="1"/>
    </row>
    <row r="11" spans="1:4" x14ac:dyDescent="0.25">
      <c r="A11" s="1"/>
      <c r="B11" s="83"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3" t="s">
        <v>133</v>
      </c>
      <c r="C14" s="39">
        <v>3.3E-3</v>
      </c>
      <c r="D14" s="1"/>
    </row>
    <row r="15" spans="1:4" x14ac:dyDescent="0.25">
      <c r="A15" s="1"/>
      <c r="B15" s="34" t="s">
        <v>152</v>
      </c>
      <c r="C15" s="35">
        <v>3.56E-2</v>
      </c>
      <c r="D15" s="1"/>
    </row>
    <row r="16" spans="1:4" x14ac:dyDescent="0.25">
      <c r="A16" s="1"/>
      <c r="B16" s="64" t="s">
        <v>190</v>
      </c>
      <c r="C16" s="66">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3" t="s">
        <v>96</v>
      </c>
      <c r="C21" s="22">
        <v>9.1000000000000004E-3</v>
      </c>
      <c r="D21" s="1"/>
    </row>
    <row r="22" spans="1:4" x14ac:dyDescent="0.25">
      <c r="A22" s="1"/>
      <c r="B22" s="83" t="s">
        <v>118</v>
      </c>
      <c r="C22" s="22">
        <v>1.77E-2</v>
      </c>
      <c r="D22" s="1"/>
    </row>
    <row r="23" spans="1:4" x14ac:dyDescent="0.25">
      <c r="A23" s="1"/>
      <c r="B23" s="83" t="s">
        <v>119</v>
      </c>
      <c r="C23" s="22">
        <v>8.6999999999999994E-3</v>
      </c>
      <c r="D23" s="1"/>
    </row>
    <row r="24" spans="1:4" x14ac:dyDescent="0.25">
      <c r="A24" s="1"/>
      <c r="B24" s="83" t="s">
        <v>97</v>
      </c>
      <c r="C24" s="36">
        <v>2.8400000000000002E-2</v>
      </c>
      <c r="D24" s="1"/>
    </row>
    <row r="25" spans="1:4" x14ac:dyDescent="0.25">
      <c r="A25" s="1"/>
      <c r="B25" s="83" t="s">
        <v>120</v>
      </c>
      <c r="C25" s="36">
        <v>2.75E-2</v>
      </c>
      <c r="D25" s="1"/>
    </row>
    <row r="26" spans="1:4" x14ac:dyDescent="0.25">
      <c r="A26" s="1"/>
      <c r="B26" s="83" t="s">
        <v>121</v>
      </c>
      <c r="C26" s="36">
        <v>1.4800000000000001E-2</v>
      </c>
      <c r="D26" s="1"/>
    </row>
    <row r="27" spans="1:4" x14ac:dyDescent="0.25">
      <c r="A27" s="1"/>
      <c r="B27" s="34" t="s">
        <v>147</v>
      </c>
      <c r="C27" s="63">
        <v>0</v>
      </c>
      <c r="D27" s="1"/>
    </row>
    <row r="28" spans="1:4" x14ac:dyDescent="0.25">
      <c r="A28" s="1"/>
      <c r="B28" s="64" t="s">
        <v>191</v>
      </c>
      <c r="C28" s="65">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3"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mIWA16gOwVKZAk/DqbCt3tqM4V9sgYmlVdTnoZqBXcLDoXmf5Z7tBb6riNM+wCDhnSlv9WUyXZWI/kAKlbVkuQ==" saltValue="ltiP+KbtjvOoUnlfE1u93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202</v>
      </c>
      <c r="C3" s="112"/>
      <c r="D3" s="112"/>
      <c r="E3" s="1"/>
    </row>
    <row r="4" spans="1:5" ht="15" customHeight="1" x14ac:dyDescent="0.25">
      <c r="A4" s="1"/>
      <c r="B4" s="112"/>
      <c r="C4" s="112"/>
      <c r="D4" s="112"/>
      <c r="E4" s="1"/>
    </row>
    <row r="5" spans="1:5" x14ac:dyDescent="0.25">
      <c r="A5" s="1"/>
      <c r="B5" s="113"/>
      <c r="C5" s="113"/>
      <c r="D5" s="113"/>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156607761.74370605</v>
      </c>
      <c r="D9" s="8" t="s">
        <v>3</v>
      </c>
      <c r="E9" s="1"/>
    </row>
    <row r="10" spans="1:5" ht="15" customHeight="1" x14ac:dyDescent="0.25">
      <c r="A10" s="1"/>
      <c r="B10" s="26" t="s">
        <v>19</v>
      </c>
      <c r="C10" s="7">
        <f>SUM(C9:C9)*'Fane 15. Nøgletal'!C16</f>
        <v>12653907.148891449</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-1038819.4409811894</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168222849.45161632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3733205.5116721215</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-3010697</v>
      </c>
      <c r="D20" s="11" t="s">
        <v>3</v>
      </c>
      <c r="E20" s="1"/>
    </row>
    <row r="21" spans="1:5" x14ac:dyDescent="0.25">
      <c r="A21" s="1"/>
      <c r="B21" s="30" t="s">
        <v>135</v>
      </c>
      <c r="C21" s="28"/>
      <c r="D21" s="19"/>
      <c r="E21" s="1"/>
    </row>
    <row r="22" spans="1:5" x14ac:dyDescent="0.25">
      <c r="A22" s="1"/>
      <c r="B22" s="68" t="s">
        <v>136</v>
      </c>
      <c r="C22" s="10">
        <f>'Fane 8. Skattesagen'!G14</f>
        <v>0</v>
      </c>
      <c r="D22" s="11" t="s">
        <v>3</v>
      </c>
      <c r="E22" s="1"/>
    </row>
    <row r="23" spans="1:5" x14ac:dyDescent="0.25">
      <c r="A23" s="1"/>
      <c r="B23" s="33" t="s">
        <v>122</v>
      </c>
      <c r="C23" s="12">
        <f>SUM(C14,C16,C18,C20,C22)</f>
        <v>168945357.96328843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iS55Osn5915j8s1osf+c7MzowMo+iRjoVCCpObvriSfisoAMBt0nZCTZBZa3bMPSUfWiGpf10M4yKRgc8OELg==" saltValue="tK8b8TbKnp8oJBBTmEPMN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203</v>
      </c>
      <c r="C3" s="112"/>
      <c r="D3" s="112"/>
      <c r="E3" s="1"/>
    </row>
    <row r="4" spans="1:5" ht="15" customHeight="1" x14ac:dyDescent="0.25">
      <c r="A4" s="1"/>
      <c r="B4" s="112"/>
      <c r="C4" s="112"/>
      <c r="D4" s="112"/>
      <c r="E4" s="1"/>
    </row>
    <row r="5" spans="1:5" x14ac:dyDescent="0.25">
      <c r="A5" s="1"/>
      <c r="B5" s="113" t="s">
        <v>253</v>
      </c>
      <c r="C5" s="113"/>
      <c r="D5" s="113"/>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168222849.45161632</v>
      </c>
      <c r="D9" s="8" t="s">
        <v>3</v>
      </c>
      <c r="E9" s="1"/>
    </row>
    <row r="10" spans="1:5" ht="15" customHeight="1" x14ac:dyDescent="0.25">
      <c r="A10" s="1"/>
      <c r="B10" s="26" t="s">
        <v>19</v>
      </c>
      <c r="C10" s="7">
        <f>SUM(C9:C9)*'Fane 15. Nøgletal'!C16</f>
        <v>13592406.235690597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-1100300.93077622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180714954.7565307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4034848.517015229</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8" t="s">
        <v>136</v>
      </c>
      <c r="C22" s="10">
        <f>'Fane 8. Skattesagen'!G15</f>
        <v>0</v>
      </c>
      <c r="D22" s="11" t="s">
        <v>3</v>
      </c>
      <c r="E22" s="1"/>
    </row>
    <row r="23" spans="1:5" x14ac:dyDescent="0.25">
      <c r="A23" s="1"/>
      <c r="B23" s="33" t="s">
        <v>140</v>
      </c>
      <c r="C23" s="12">
        <f>SUM(C14,C16,C18,C20,C22)</f>
        <v>184749803.27354592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F1P+GiL+YOnbvSVFpRytYspg3x4yTxWiecdIMxGsHufue1eSri34Ue7PQWqXq0iz9BWcu8qoJxJ+d7XlPPOkQ==" saltValue="cscAW53IqfDfPsTLxffwz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204</v>
      </c>
      <c r="C3" s="112"/>
      <c r="D3" s="112"/>
      <c r="E3" s="1"/>
      <c r="F3" s="1"/>
    </row>
    <row r="4" spans="1:6" ht="15" customHeight="1" x14ac:dyDescent="0.25">
      <c r="A4" s="1"/>
      <c r="B4" s="112"/>
      <c r="C4" s="112"/>
      <c r="D4" s="112"/>
      <c r="E4" s="1"/>
      <c r="F4" s="1"/>
    </row>
    <row r="5" spans="1:6" x14ac:dyDescent="0.25">
      <c r="A5" s="1"/>
      <c r="B5" s="113" t="s">
        <v>253</v>
      </c>
      <c r="C5" s="113"/>
      <c r="D5" s="113"/>
      <c r="E5" s="1"/>
      <c r="F5" s="1"/>
    </row>
    <row r="6" spans="1:6" x14ac:dyDescent="0.25">
      <c r="A6" s="1"/>
      <c r="B6" s="75"/>
      <c r="C6" s="75"/>
      <c r="D6" s="75"/>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180714954.7565307</v>
      </c>
      <c r="D9" s="8" t="s">
        <v>3</v>
      </c>
      <c r="E9" s="1"/>
      <c r="F9" s="1"/>
    </row>
    <row r="10" spans="1:6" ht="15" customHeight="1" x14ac:dyDescent="0.25">
      <c r="A10" s="1"/>
      <c r="B10" s="26" t="s">
        <v>19</v>
      </c>
      <c r="C10" s="7">
        <f>SUM(C9:C9)*'Fane 15. Nøgletal'!C16</f>
        <v>14601768.344327681</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-1165421.1410632799</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194151301.95979512</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4360864.2771900594</v>
      </c>
      <c r="D16" s="11" t="s">
        <v>3</v>
      </c>
      <c r="E16" s="1"/>
      <c r="F16" s="1"/>
    </row>
    <row r="17" spans="1:6" ht="15" customHeight="1" x14ac:dyDescent="0.25">
      <c r="A17" s="1"/>
      <c r="B17" s="33" t="s">
        <v>74</v>
      </c>
      <c r="C17" s="28"/>
      <c r="D17" s="19"/>
      <c r="E17" s="1"/>
      <c r="F17" s="1"/>
    </row>
    <row r="18" spans="1:6" ht="15" customHeight="1" x14ac:dyDescent="0.25">
      <c r="A18" s="1"/>
      <c r="B18" s="84"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8" t="s">
        <v>136</v>
      </c>
      <c r="C22" s="10">
        <f>'Fane 8. Skattesagen'!G16</f>
        <v>0</v>
      </c>
      <c r="D22" s="11" t="s">
        <v>3</v>
      </c>
      <c r="E22" s="1"/>
      <c r="F22" s="1"/>
    </row>
    <row r="23" spans="1:6" x14ac:dyDescent="0.25">
      <c r="A23" s="1"/>
      <c r="B23" s="33" t="s">
        <v>209</v>
      </c>
      <c r="C23" s="12">
        <f>SUM(C14,C16,C18,C20,C22)</f>
        <v>198512166.23698518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5ZF8sWCN3dHpCgCBikHgttaiPVisW9fR3PKZXBfKmkCoyi1DcXbDxJF1+9kiV2OoCbo+EGSq1d9a7EsTUJplhQ==" saltValue="Yu4BKYbC/LUfOmT9imtOz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40" zoomScaleNormal="100" zoomScalePageLayoutView="4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5" t="s">
        <v>205</v>
      </c>
      <c r="C3" s="115"/>
      <c r="D3" s="115"/>
      <c r="E3" s="1"/>
    </row>
    <row r="4" spans="1:5"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146161047.6645585</v>
      </c>
      <c r="D9" s="8" t="s">
        <v>3</v>
      </c>
      <c r="E9" s="1"/>
    </row>
    <row r="10" spans="1:5" x14ac:dyDescent="0.25">
      <c r="A10" s="1"/>
      <c r="B10" s="90" t="s">
        <v>36</v>
      </c>
      <c r="C10" s="7">
        <v>351417.39720000001</v>
      </c>
      <c r="D10" s="8" t="s">
        <v>3</v>
      </c>
      <c r="E10" s="1"/>
    </row>
    <row r="11" spans="1:5" x14ac:dyDescent="0.25">
      <c r="A11" s="1"/>
      <c r="B11" s="90" t="s">
        <v>37</v>
      </c>
      <c r="C11" s="9">
        <v>558039.27360000007</v>
      </c>
      <c r="D11" s="8" t="s">
        <v>3</v>
      </c>
      <c r="E11" s="1"/>
    </row>
    <row r="12" spans="1:5" x14ac:dyDescent="0.25">
      <c r="A12" s="1"/>
      <c r="B12" s="90" t="s">
        <v>26</v>
      </c>
      <c r="C12" s="9">
        <v>0</v>
      </c>
      <c r="D12" s="8" t="s">
        <v>3</v>
      </c>
      <c r="E12" s="1"/>
    </row>
    <row r="13" spans="1:5" x14ac:dyDescent="0.25">
      <c r="A13" s="1"/>
      <c r="B13" s="90" t="s">
        <v>25</v>
      </c>
      <c r="C13" s="9">
        <v>0</v>
      </c>
      <c r="D13" s="8" t="s">
        <v>3</v>
      </c>
      <c r="E13" s="1"/>
    </row>
    <row r="14" spans="1:5" x14ac:dyDescent="0.25">
      <c r="A14" s="1"/>
      <c r="B14" s="90" t="s">
        <v>105</v>
      </c>
      <c r="C14" s="9">
        <v>0</v>
      </c>
      <c r="D14" s="8" t="s">
        <v>3</v>
      </c>
      <c r="E14" s="1"/>
    </row>
    <row r="15" spans="1:5" x14ac:dyDescent="0.25">
      <c r="A15" s="1"/>
      <c r="B15" s="90" t="s">
        <v>106</v>
      </c>
      <c r="C15" s="9">
        <v>0</v>
      </c>
      <c r="D15" s="8" t="s">
        <v>3</v>
      </c>
      <c r="E15" s="1"/>
    </row>
    <row r="16" spans="1:5" x14ac:dyDescent="0.25">
      <c r="A16" s="1"/>
      <c r="B16" s="90" t="s">
        <v>19</v>
      </c>
      <c r="C16" s="41">
        <v>514708.11477352306</v>
      </c>
      <c r="D16" s="8" t="s">
        <v>3</v>
      </c>
      <c r="E16" s="1"/>
    </row>
    <row r="17" spans="1:5" x14ac:dyDescent="0.25">
      <c r="A17" s="1"/>
      <c r="B17" s="90" t="s">
        <v>10</v>
      </c>
      <c r="C17" s="41">
        <v>-403615.50746656646</v>
      </c>
      <c r="D17" s="8" t="s">
        <v>3</v>
      </c>
      <c r="E17" s="1"/>
    </row>
    <row r="18" spans="1:5" x14ac:dyDescent="0.25">
      <c r="A18" s="1"/>
      <c r="B18" s="90" t="s">
        <v>23</v>
      </c>
      <c r="C18" s="41">
        <v>-918270.39803705376</v>
      </c>
      <c r="D18" s="8" t="s">
        <v>3</v>
      </c>
      <c r="E18" s="1"/>
    </row>
    <row r="19" spans="1:5" x14ac:dyDescent="0.25">
      <c r="A19" s="1"/>
      <c r="B19" s="90" t="s">
        <v>24</v>
      </c>
      <c r="C19" s="41">
        <v>-1584497.9323825503</v>
      </c>
      <c r="D19" s="8" t="s">
        <v>3</v>
      </c>
      <c r="E19" s="47"/>
    </row>
    <row r="20" spans="1:5" x14ac:dyDescent="0.25">
      <c r="A20" s="1"/>
      <c r="B20" s="84" t="s">
        <v>21</v>
      </c>
      <c r="C20" s="10">
        <v>144678828.61224586</v>
      </c>
      <c r="D20" s="11" t="s">
        <v>3</v>
      </c>
      <c r="E20" s="1"/>
    </row>
    <row r="21" spans="1:5" x14ac:dyDescent="0.25">
      <c r="A21" s="1"/>
      <c r="B21" s="33" t="s">
        <v>12</v>
      </c>
      <c r="C21" s="28"/>
      <c r="D21" s="19"/>
      <c r="E21" s="1"/>
    </row>
    <row r="22" spans="1:5" x14ac:dyDescent="0.25">
      <c r="A22" s="1"/>
      <c r="B22" s="31" t="s">
        <v>12</v>
      </c>
      <c r="C22" s="10">
        <v>6415862.2241728883</v>
      </c>
      <c r="D22" s="11" t="s">
        <v>3</v>
      </c>
      <c r="E22" s="1"/>
    </row>
    <row r="23" spans="1:5" x14ac:dyDescent="0.25">
      <c r="A23" s="1"/>
      <c r="B23" s="33" t="s">
        <v>74</v>
      </c>
      <c r="C23" s="28"/>
      <c r="D23" s="19"/>
      <c r="E23" s="1"/>
    </row>
    <row r="24" spans="1:5" x14ac:dyDescent="0.25">
      <c r="A24" s="1"/>
      <c r="B24" s="84" t="s">
        <v>74</v>
      </c>
      <c r="C24" s="10">
        <v>0</v>
      </c>
      <c r="D24" s="11" t="s">
        <v>3</v>
      </c>
      <c r="E24" s="1"/>
    </row>
    <row r="25" spans="1:5" x14ac:dyDescent="0.25">
      <c r="A25" s="1"/>
      <c r="B25" s="44" t="s">
        <v>73</v>
      </c>
      <c r="C25" s="42"/>
      <c r="D25" s="43"/>
      <c r="E25" s="1"/>
    </row>
    <row r="26" spans="1:5" x14ac:dyDescent="0.25">
      <c r="A26" s="1"/>
      <c r="B26" s="90" t="s">
        <v>158</v>
      </c>
      <c r="C26" s="67">
        <v>0</v>
      </c>
      <c r="D26" s="8" t="s">
        <v>3</v>
      </c>
      <c r="E26" s="1"/>
    </row>
    <row r="27" spans="1:5" x14ac:dyDescent="0.25">
      <c r="A27" s="1"/>
      <c r="B27" s="90" t="s">
        <v>70</v>
      </c>
      <c r="C27" s="67">
        <v>0</v>
      </c>
      <c r="D27" s="8" t="s">
        <v>3</v>
      </c>
      <c r="E27" s="1"/>
    </row>
    <row r="28" spans="1:5" x14ac:dyDescent="0.25">
      <c r="A28" s="1"/>
      <c r="B28" s="90" t="s">
        <v>161</v>
      </c>
      <c r="C28" s="67">
        <v>0</v>
      </c>
      <c r="D28" s="8" t="s">
        <v>3</v>
      </c>
      <c r="E28" s="1"/>
    </row>
    <row r="29" spans="1:5" x14ac:dyDescent="0.25">
      <c r="A29" s="1"/>
      <c r="B29" s="90" t="s">
        <v>162</v>
      </c>
      <c r="C29" s="67">
        <v>0</v>
      </c>
      <c r="D29" s="8" t="s">
        <v>3</v>
      </c>
      <c r="E29" s="1"/>
    </row>
    <row r="30" spans="1:5" x14ac:dyDescent="0.25">
      <c r="A30" s="1"/>
      <c r="B30" s="68"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68" t="s">
        <v>136</v>
      </c>
      <c r="C36" s="10">
        <v>0</v>
      </c>
      <c r="D36" s="11" t="s">
        <v>3</v>
      </c>
      <c r="E36" s="1"/>
    </row>
    <row r="37" spans="1:5" x14ac:dyDescent="0.25">
      <c r="A37" s="1"/>
      <c r="B37" s="33" t="s">
        <v>267</v>
      </c>
      <c r="C37" s="49">
        <v>151094690.83641875</v>
      </c>
      <c r="D37" s="30" t="s">
        <v>3</v>
      </c>
      <c r="E37" s="1"/>
    </row>
    <row r="38" spans="1:5" ht="30" customHeight="1" x14ac:dyDescent="0.25">
      <c r="A38" s="1"/>
      <c r="B38" s="114" t="s">
        <v>268</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5EzVRmhMivd75HFfCjhTgaaM8R0TdGeiBMMMKz6U64U//6Fa5OuzbDlfBMPTV/vBleqfp2b4U8Ak1p4z0PYb6A==" saltValue="mWoZe2EKzGZC7EsXwN2oJ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55" zoomScaleNormal="100" zoomScalePageLayoutView="55"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5" t="s">
        <v>91</v>
      </c>
      <c r="C2" s="115"/>
      <c r="D2" s="115"/>
      <c r="E2" s="115"/>
      <c r="F2" s="115"/>
      <c r="G2" s="115"/>
      <c r="H2" s="115"/>
      <c r="I2" s="1"/>
    </row>
    <row r="3" spans="1:9" ht="28.5" customHeight="1" x14ac:dyDescent="0.25">
      <c r="A3" s="1"/>
      <c r="B3" s="115"/>
      <c r="C3" s="115"/>
      <c r="D3" s="115"/>
      <c r="E3" s="115"/>
      <c r="F3" s="115"/>
      <c r="G3" s="115"/>
      <c r="H3" s="115"/>
      <c r="I3" s="1"/>
    </row>
    <row r="4" spans="1:9" x14ac:dyDescent="0.25">
      <c r="A4" s="1"/>
      <c r="B4" s="119" t="s">
        <v>46</v>
      </c>
      <c r="C4" s="120"/>
      <c r="D4" s="120"/>
      <c r="E4" s="120"/>
      <c r="F4" s="120"/>
      <c r="G4" s="120"/>
      <c r="H4" s="121"/>
      <c r="I4" s="1"/>
    </row>
    <row r="5" spans="1:9" x14ac:dyDescent="0.25">
      <c r="A5" s="1"/>
      <c r="B5" s="122" t="s">
        <v>38</v>
      </c>
      <c r="C5" s="123"/>
      <c r="D5" s="123"/>
      <c r="E5" s="123"/>
      <c r="F5" s="124"/>
      <c r="G5" s="71">
        <v>44586064.453811437</v>
      </c>
      <c r="H5" s="14" t="s">
        <v>3</v>
      </c>
      <c r="I5" s="1"/>
    </row>
    <row r="6" spans="1:9" x14ac:dyDescent="0.25">
      <c r="A6" s="1"/>
      <c r="B6" s="116" t="s">
        <v>102</v>
      </c>
      <c r="C6" s="117"/>
      <c r="D6" s="117"/>
      <c r="E6" s="117"/>
      <c r="F6" s="118"/>
      <c r="G6" s="70">
        <v>0</v>
      </c>
      <c r="H6" s="14" t="s">
        <v>3</v>
      </c>
      <c r="I6" s="1"/>
    </row>
    <row r="7" spans="1:9" x14ac:dyDescent="0.25">
      <c r="A7" s="1"/>
      <c r="B7" s="122" t="s">
        <v>39</v>
      </c>
      <c r="C7" s="123"/>
      <c r="D7" s="123"/>
      <c r="E7" s="123"/>
      <c r="F7" s="124"/>
      <c r="G7" s="23">
        <f>SUM(G5:G6)*'Fane 15. Nøgletal'!C33</f>
        <v>891721.28907622874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9" t="s">
        <v>47</v>
      </c>
      <c r="C10" s="120"/>
      <c r="D10" s="120"/>
      <c r="E10" s="120"/>
      <c r="F10" s="120"/>
      <c r="G10" s="120"/>
      <c r="H10" s="121"/>
      <c r="I10" s="1"/>
    </row>
    <row r="11" spans="1:9" x14ac:dyDescent="0.25">
      <c r="A11" s="1"/>
      <c r="B11" s="122" t="s">
        <v>40</v>
      </c>
      <c r="C11" s="123"/>
      <c r="D11" s="123"/>
      <c r="E11" s="123"/>
      <c r="F11" s="124"/>
      <c r="G11" s="23">
        <f>(G5-G7)*(1+'Fane 15. Nøgletal'!C10)</f>
        <v>44458994.170118071</v>
      </c>
      <c r="H11" s="14" t="s">
        <v>3</v>
      </c>
      <c r="I11" s="1"/>
    </row>
    <row r="12" spans="1:9" ht="15" customHeight="1" x14ac:dyDescent="0.25">
      <c r="A12" s="1"/>
      <c r="B12" s="122" t="s">
        <v>103</v>
      </c>
      <c r="C12" s="123"/>
      <c r="D12" s="123"/>
      <c r="E12" s="123"/>
      <c r="F12" s="124"/>
      <c r="G12" s="70">
        <v>4057.3799351990037</v>
      </c>
      <c r="H12" s="14" t="s">
        <v>3</v>
      </c>
      <c r="I12" s="1"/>
    </row>
    <row r="13" spans="1:9" x14ac:dyDescent="0.25">
      <c r="A13" s="1"/>
      <c r="B13" s="116" t="s">
        <v>100</v>
      </c>
      <c r="C13" s="117"/>
      <c r="D13" s="117"/>
      <c r="E13" s="117"/>
      <c r="F13" s="118"/>
      <c r="G13" s="70">
        <v>0</v>
      </c>
      <c r="H13" s="14" t="s">
        <v>3</v>
      </c>
      <c r="I13" s="1"/>
    </row>
    <row r="14" spans="1:9" x14ac:dyDescent="0.25">
      <c r="A14" s="1"/>
      <c r="B14" s="125" t="s">
        <v>244</v>
      </c>
      <c r="C14" s="126"/>
      <c r="D14" s="126"/>
      <c r="E14" s="126"/>
      <c r="F14" s="127"/>
      <c r="G14" s="70">
        <v>0</v>
      </c>
      <c r="H14" s="14" t="s">
        <v>3</v>
      </c>
      <c r="I14" s="1"/>
    </row>
    <row r="15" spans="1:9" x14ac:dyDescent="0.25">
      <c r="A15" s="1"/>
      <c r="B15" s="122" t="s">
        <v>41</v>
      </c>
      <c r="C15" s="123"/>
      <c r="D15" s="123"/>
      <c r="E15" s="123"/>
      <c r="F15" s="124"/>
      <c r="G15" s="23">
        <f>SUM(G11:G14)*'Fane 15. Nøgletal'!C33</f>
        <v>889261.03100106539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9" t="s">
        <v>48</v>
      </c>
      <c r="C18" s="120"/>
      <c r="D18" s="120"/>
      <c r="E18" s="120"/>
      <c r="F18" s="120"/>
      <c r="G18" s="120"/>
      <c r="H18" s="121"/>
      <c r="I18" s="1"/>
    </row>
    <row r="19" spans="1:9" x14ac:dyDescent="0.25">
      <c r="A19" s="1"/>
      <c r="B19" s="122" t="s">
        <v>42</v>
      </c>
      <c r="C19" s="123"/>
      <c r="D19" s="123"/>
      <c r="E19" s="123"/>
      <c r="F19" s="124"/>
      <c r="G19" s="23">
        <f>(SUM(G11:G12,G14)-(G15))*(1+'Fane 15. Nøgletal'!C10)</f>
        <v>44336331.853135616</v>
      </c>
      <c r="H19" s="14" t="s">
        <v>3</v>
      </c>
      <c r="I19" s="1"/>
    </row>
    <row r="20" spans="1:9" x14ac:dyDescent="0.25">
      <c r="A20" s="1"/>
      <c r="B20" s="125" t="s">
        <v>245</v>
      </c>
      <c r="C20" s="126"/>
      <c r="D20" s="126"/>
      <c r="E20" s="126"/>
      <c r="F20" s="127"/>
      <c r="G20" s="70">
        <v>5027916.5757434592</v>
      </c>
      <c r="H20" s="14" t="s">
        <v>3</v>
      </c>
      <c r="I20" s="1"/>
    </row>
    <row r="21" spans="1:9" x14ac:dyDescent="0.25">
      <c r="A21" s="1"/>
      <c r="B21" s="122" t="s">
        <v>43</v>
      </c>
      <c r="C21" s="123"/>
      <c r="D21" s="123"/>
      <c r="E21" s="123"/>
      <c r="F21" s="124"/>
      <c r="G21" s="23">
        <f>SUM(G19:G20)*'Fane 15. Nøgletal'!C33</f>
        <v>987284.96857758146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9" t="s">
        <v>49</v>
      </c>
      <c r="C24" s="120"/>
      <c r="D24" s="120"/>
      <c r="E24" s="120"/>
      <c r="F24" s="120"/>
      <c r="G24" s="120"/>
      <c r="H24" s="121"/>
      <c r="I24" s="1"/>
    </row>
    <row r="25" spans="1:9" x14ac:dyDescent="0.25">
      <c r="A25" s="1"/>
      <c r="B25" s="122" t="s">
        <v>44</v>
      </c>
      <c r="C25" s="123"/>
      <c r="D25" s="123"/>
      <c r="E25" s="123"/>
      <c r="F25" s="124"/>
      <c r="G25" s="23">
        <f>(G19+G20-G21)*(1+'Fane 15. Nøgletal'!C12)</f>
        <v>49329989.640469439</v>
      </c>
      <c r="H25" s="14" t="s">
        <v>3</v>
      </c>
      <c r="I25" s="1"/>
    </row>
    <row r="26" spans="1:9" x14ac:dyDescent="0.25">
      <c r="A26" s="1"/>
      <c r="B26" s="125" t="s">
        <v>246</v>
      </c>
      <c r="C26" s="126"/>
      <c r="D26" s="126"/>
      <c r="E26" s="126"/>
      <c r="F26" s="127"/>
      <c r="G26" s="70">
        <v>-4034211.8772352845</v>
      </c>
      <c r="H26" s="14" t="s">
        <v>3</v>
      </c>
      <c r="I26" s="1"/>
    </row>
    <row r="27" spans="1:9" x14ac:dyDescent="0.25">
      <c r="A27" s="1"/>
      <c r="B27" s="122" t="s">
        <v>45</v>
      </c>
      <c r="C27" s="123"/>
      <c r="D27" s="123"/>
      <c r="E27" s="123"/>
      <c r="F27" s="124"/>
      <c r="G27" s="23">
        <f>(G25+G26)*'Fane 15. Nøgletal'!C33</f>
        <v>905915.55526468309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9" t="s">
        <v>52</v>
      </c>
      <c r="C30" s="120"/>
      <c r="D30" s="120"/>
      <c r="E30" s="120"/>
      <c r="F30" s="120"/>
      <c r="G30" s="120"/>
      <c r="H30" s="121"/>
      <c r="I30" s="1"/>
    </row>
    <row r="31" spans="1:9" x14ac:dyDescent="0.25">
      <c r="A31" s="1"/>
      <c r="B31" s="122" t="s">
        <v>53</v>
      </c>
      <c r="C31" s="123"/>
      <c r="D31" s="123"/>
      <c r="E31" s="123"/>
      <c r="F31" s="124"/>
      <c r="G31" s="23">
        <f>(G25+G26-G27)*(1+'Fane 15. Nøgletal'!C12)</f>
        <v>45264342.493466474</v>
      </c>
      <c r="H31" s="14" t="s">
        <v>3</v>
      </c>
      <c r="I31" s="1"/>
    </row>
    <row r="32" spans="1:9" x14ac:dyDescent="0.25">
      <c r="A32" s="1"/>
      <c r="B32" s="122" t="s">
        <v>243</v>
      </c>
      <c r="C32" s="123"/>
      <c r="D32" s="123"/>
      <c r="E32" s="123"/>
      <c r="F32" s="124"/>
      <c r="G32" s="71">
        <v>330686.45724492002</v>
      </c>
      <c r="H32" s="14" t="s">
        <v>3</v>
      </c>
      <c r="I32" s="1"/>
    </row>
    <row r="33" spans="1:9" x14ac:dyDescent="0.25">
      <c r="A33" s="1"/>
      <c r="B33" s="122" t="s">
        <v>54</v>
      </c>
      <c r="C33" s="123"/>
      <c r="D33" s="123"/>
      <c r="E33" s="123"/>
      <c r="F33" s="124"/>
      <c r="G33" s="23">
        <f>(G31+G32)*'Fane 15. Nøgletal'!C33</f>
        <v>911900.57901422784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9" t="s">
        <v>126</v>
      </c>
      <c r="C36" s="120"/>
      <c r="D36" s="120"/>
      <c r="E36" s="120"/>
      <c r="F36" s="120"/>
      <c r="G36" s="120"/>
      <c r="H36" s="121"/>
      <c r="I36" s="1"/>
    </row>
    <row r="37" spans="1:9" x14ac:dyDescent="0.25">
      <c r="A37" s="1"/>
      <c r="B37" s="122" t="s">
        <v>68</v>
      </c>
      <c r="C37" s="123"/>
      <c r="D37" s="123"/>
      <c r="E37" s="123"/>
      <c r="F37" s="124"/>
      <c r="G37" s="23">
        <f>(G31+G32-G33)*(1+'Fane 15. Nøgletal'!C14)</f>
        <v>44830582.695323773</v>
      </c>
      <c r="H37" s="14" t="s">
        <v>3</v>
      </c>
      <c r="I37" s="1"/>
    </row>
    <row r="38" spans="1:9" x14ac:dyDescent="0.25">
      <c r="A38" s="1"/>
      <c r="B38" s="122" t="s">
        <v>242</v>
      </c>
      <c r="C38" s="123"/>
      <c r="D38" s="123"/>
      <c r="E38" s="123"/>
      <c r="F38" s="124"/>
      <c r="G38" s="71">
        <v>1495716.0751747703</v>
      </c>
      <c r="H38" s="14" t="s">
        <v>3</v>
      </c>
      <c r="I38" s="1"/>
    </row>
    <row r="39" spans="1:9" x14ac:dyDescent="0.25">
      <c r="A39" s="1"/>
      <c r="B39" s="122" t="s">
        <v>128</v>
      </c>
      <c r="C39" s="123"/>
      <c r="D39" s="123"/>
      <c r="E39" s="123"/>
      <c r="F39" s="124"/>
      <c r="G39" s="23">
        <f>(G37+G38)*'Fane 15. Nøgletal'!C33</f>
        <v>926525.97540997085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9" t="s">
        <v>127</v>
      </c>
      <c r="C42" s="120"/>
      <c r="D42" s="120"/>
      <c r="E42" s="120"/>
      <c r="F42" s="120"/>
      <c r="G42" s="120"/>
      <c r="H42" s="121"/>
      <c r="I42" s="1"/>
    </row>
    <row r="43" spans="1:9" x14ac:dyDescent="0.25">
      <c r="A43" s="1"/>
      <c r="B43" s="122" t="s">
        <v>155</v>
      </c>
      <c r="C43" s="123"/>
      <c r="D43" s="123"/>
      <c r="E43" s="123"/>
      <c r="F43" s="124"/>
      <c r="G43" s="23">
        <f>(G37+G38-G39)*(1+'Fane 15. Nøgletal'!C14)</f>
        <v>45549592.045312367</v>
      </c>
      <c r="H43" s="14" t="s">
        <v>3</v>
      </c>
      <c r="I43" s="1"/>
    </row>
    <row r="44" spans="1:9" x14ac:dyDescent="0.25">
      <c r="A44" s="1"/>
      <c r="B44" s="128" t="s">
        <v>157</v>
      </c>
      <c r="C44" s="129"/>
      <c r="D44" s="129"/>
      <c r="E44" s="129"/>
      <c r="F44" s="130"/>
      <c r="G44" s="72">
        <v>363927.85654032003</v>
      </c>
      <c r="H44" s="14" t="s">
        <v>3</v>
      </c>
      <c r="I44" s="1"/>
    </row>
    <row r="45" spans="1:9" x14ac:dyDescent="0.25">
      <c r="A45" s="1"/>
      <c r="B45" s="122" t="s">
        <v>129</v>
      </c>
      <c r="C45" s="123"/>
      <c r="D45" s="123"/>
      <c r="E45" s="123"/>
      <c r="F45" s="124"/>
      <c r="G45" s="23">
        <f>SUM(G43:G44)*'Fane 15. Nøgletal'!C33</f>
        <v>918270.39803705376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9" t="s">
        <v>192</v>
      </c>
      <c r="C51" s="120"/>
      <c r="D51" s="120"/>
      <c r="E51" s="120"/>
      <c r="F51" s="120"/>
      <c r="G51" s="120"/>
      <c r="H51" s="121"/>
      <c r="I51" s="1"/>
    </row>
    <row r="52" spans="1:9" x14ac:dyDescent="0.25">
      <c r="A52" s="1"/>
      <c r="B52" s="122" t="s">
        <v>154</v>
      </c>
      <c r="C52" s="123"/>
      <c r="D52" s="123"/>
      <c r="E52" s="123"/>
      <c r="F52" s="124"/>
      <c r="G52" s="23">
        <f>(G43+G44-G45)*(1+'Fane 15. Nøgletal'!C16)</f>
        <v>48630865.663723938</v>
      </c>
      <c r="H52" s="14" t="s">
        <v>3</v>
      </c>
      <c r="I52" s="1"/>
    </row>
    <row r="53" spans="1:9" x14ac:dyDescent="0.25">
      <c r="A53" s="1"/>
      <c r="B53" s="80" t="s">
        <v>194</v>
      </c>
      <c r="C53" s="81"/>
      <c r="D53" s="81"/>
      <c r="E53" s="81"/>
      <c r="F53" s="82"/>
      <c r="G53" s="23">
        <f>('Fane 2.1. Økonomisk ramme 2024'!C10+'Fane 2.1. Økonomisk ramme 2024'!C12+'Fane 2.1. Økonomisk ramme 2024'!C14)*(1+'Fane 15. Nøgletal'!C16)</f>
        <v>407801.88512448</v>
      </c>
      <c r="H53" s="14" t="s">
        <v>3</v>
      </c>
      <c r="I53" s="1"/>
    </row>
    <row r="54" spans="1:9" x14ac:dyDescent="0.25">
      <c r="A54" s="1"/>
      <c r="B54" s="122" t="s">
        <v>210</v>
      </c>
      <c r="C54" s="123"/>
      <c r="D54" s="123"/>
      <c r="E54" s="123"/>
      <c r="F54" s="124"/>
      <c r="G54" s="23">
        <f>(G52)*'Fane 15. Nøgletal'!C33+(G53)*'Fane 15. Nøgletal'!C33</f>
        <v>980773.35097696842</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9" t="s">
        <v>193</v>
      </c>
      <c r="C57" s="120"/>
      <c r="D57" s="120"/>
      <c r="E57" s="120"/>
      <c r="F57" s="120"/>
      <c r="G57" s="120"/>
      <c r="H57" s="121"/>
      <c r="I57" s="1"/>
    </row>
    <row r="58" spans="1:9" x14ac:dyDescent="0.25">
      <c r="A58" s="1"/>
      <c r="B58" s="80" t="s">
        <v>212</v>
      </c>
      <c r="C58" s="81"/>
      <c r="D58" s="81"/>
      <c r="E58" s="81"/>
      <c r="F58" s="82"/>
      <c r="G58" s="23">
        <f>(G52+G53-G54)*(1+'Fane 15. Nøgletal'!C16)</f>
        <v>51940972.049059466</v>
      </c>
      <c r="H58" s="14" t="s">
        <v>3</v>
      </c>
      <c r="I58" s="1"/>
    </row>
    <row r="59" spans="1:9" x14ac:dyDescent="0.25">
      <c r="A59" s="1"/>
      <c r="B59" s="80" t="s">
        <v>211</v>
      </c>
      <c r="C59" s="81"/>
      <c r="D59" s="81"/>
      <c r="E59" s="81"/>
      <c r="F59" s="82"/>
      <c r="G59" s="23">
        <f>(G58)*'Fane 15. Nøgletal'!C33</f>
        <v>1038819.4409811894</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9" t="s">
        <v>256</v>
      </c>
      <c r="C62" s="120"/>
      <c r="D62" s="120"/>
      <c r="E62" s="120"/>
      <c r="F62" s="120"/>
      <c r="G62" s="120"/>
      <c r="H62" s="121"/>
      <c r="I62" s="1"/>
    </row>
    <row r="63" spans="1:9" x14ac:dyDescent="0.25">
      <c r="A63" s="1"/>
      <c r="B63" s="80" t="s">
        <v>213</v>
      </c>
      <c r="C63" s="81"/>
      <c r="D63" s="81"/>
      <c r="E63" s="81"/>
      <c r="F63" s="82"/>
      <c r="G63" s="23">
        <f>(G58-G59)*(1+'Fane 15. Nøgletal'!C16)</f>
        <v>55015046.538811006</v>
      </c>
      <c r="H63" s="14" t="s">
        <v>3</v>
      </c>
      <c r="I63" s="1"/>
    </row>
    <row r="64" spans="1:9" x14ac:dyDescent="0.25">
      <c r="A64" s="1"/>
      <c r="B64" s="80" t="s">
        <v>214</v>
      </c>
      <c r="C64" s="81"/>
      <c r="D64" s="81"/>
      <c r="E64" s="81"/>
      <c r="F64" s="82"/>
      <c r="G64" s="23">
        <f>(G63)*'Fane 15. Nøgletal'!C33</f>
        <v>1100300.93077622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9" t="s">
        <v>257</v>
      </c>
      <c r="C67" s="120"/>
      <c r="D67" s="120"/>
      <c r="E67" s="120"/>
      <c r="F67" s="120"/>
      <c r="G67" s="120"/>
      <c r="H67" s="121"/>
      <c r="I67" s="1"/>
    </row>
    <row r="68" spans="1:9" x14ac:dyDescent="0.25">
      <c r="A68" s="1"/>
      <c r="B68" s="80" t="s">
        <v>213</v>
      </c>
      <c r="C68" s="81"/>
      <c r="D68" s="81"/>
      <c r="E68" s="81"/>
      <c r="F68" s="82"/>
      <c r="G68" s="23">
        <f>(G63-G64)*(1+'Fane 15. Nøgletal'!C16)</f>
        <v>58271057.05316399</v>
      </c>
      <c r="H68" s="14" t="s">
        <v>3</v>
      </c>
      <c r="I68" s="1"/>
    </row>
    <row r="69" spans="1:9" x14ac:dyDescent="0.25">
      <c r="A69" s="1"/>
      <c r="B69" s="80" t="s">
        <v>214</v>
      </c>
      <c r="C69" s="81"/>
      <c r="D69" s="81"/>
      <c r="E69" s="81"/>
      <c r="F69" s="82"/>
      <c r="G69" s="23">
        <f>(G68)*'Fane 15. Nøgletal'!C33</f>
        <v>1165421.1410632799</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F/4mWQ8dueXRMcnBDNLO1wI7pM6hQhpt20PHKL+BDJomTBgiu6hFvZLcTuvHQsuMTlgF1iISJPYr+4rmfBhx8Q==" saltValue="P+56eqU1TEmoOSDJAHrGh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70" zoomScaleNormal="100" zoomScalePageLayoutView="7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1" t="s">
        <v>92</v>
      </c>
      <c r="C1" s="131"/>
      <c r="D1" s="131"/>
      <c r="E1" s="131"/>
      <c r="F1" s="131"/>
      <c r="G1" s="131"/>
      <c r="H1" s="131"/>
      <c r="I1" s="1"/>
    </row>
    <row r="2" spans="1:9" ht="15" customHeight="1" x14ac:dyDescent="0.25">
      <c r="A2" s="1"/>
      <c r="B2" s="131"/>
      <c r="C2" s="131"/>
      <c r="D2" s="131"/>
      <c r="E2" s="131"/>
      <c r="F2" s="131"/>
      <c r="G2" s="131"/>
      <c r="H2" s="131"/>
      <c r="I2" s="1"/>
    </row>
    <row r="3" spans="1:9" ht="15" customHeight="1" x14ac:dyDescent="0.25">
      <c r="A3" s="1"/>
      <c r="B3" s="132"/>
      <c r="C3" s="132"/>
      <c r="D3" s="132"/>
      <c r="E3" s="132"/>
      <c r="F3" s="132"/>
      <c r="G3" s="132"/>
      <c r="H3" s="132"/>
      <c r="I3" s="1"/>
    </row>
    <row r="4" spans="1:9" x14ac:dyDescent="0.25">
      <c r="A4" s="1"/>
      <c r="B4" s="119" t="s">
        <v>50</v>
      </c>
      <c r="C4" s="120"/>
      <c r="D4" s="120"/>
      <c r="E4" s="120"/>
      <c r="F4" s="120"/>
      <c r="G4" s="120"/>
      <c r="H4" s="121"/>
      <c r="I4" s="1"/>
    </row>
    <row r="5" spans="1:9" x14ac:dyDescent="0.25">
      <c r="A5" s="1"/>
      <c r="B5" s="122" t="s">
        <v>55</v>
      </c>
      <c r="C5" s="123"/>
      <c r="D5" s="123"/>
      <c r="E5" s="123"/>
      <c r="F5" s="124"/>
      <c r="G5" s="71">
        <v>104117569</v>
      </c>
      <c r="H5" s="14" t="s">
        <v>3</v>
      </c>
      <c r="I5" s="1"/>
    </row>
    <row r="6" spans="1:9" x14ac:dyDescent="0.25">
      <c r="A6" s="1"/>
      <c r="B6" s="122" t="s">
        <v>51</v>
      </c>
      <c r="C6" s="123"/>
      <c r="D6" s="123"/>
      <c r="E6" s="123"/>
      <c r="F6" s="124"/>
      <c r="G6" s="23">
        <f>G5*'Fane 15. Nøgletal'!C21</f>
        <v>947469.87790000008</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9" t="s">
        <v>56</v>
      </c>
      <c r="C9" s="120"/>
      <c r="D9" s="120"/>
      <c r="E9" s="120"/>
      <c r="F9" s="120"/>
      <c r="G9" s="120"/>
      <c r="H9" s="121"/>
      <c r="I9" s="1"/>
    </row>
    <row r="10" spans="1:9" x14ac:dyDescent="0.25">
      <c r="A10" s="1"/>
      <c r="B10" s="122" t="s">
        <v>57</v>
      </c>
      <c r="C10" s="123"/>
      <c r="D10" s="123"/>
      <c r="E10" s="123"/>
      <c r="F10" s="124"/>
      <c r="G10" s="23">
        <f>(G5-G6)*(1+'Fane 15. Nøgletal'!C10)</f>
        <v>104975575.85673675</v>
      </c>
      <c r="H10" s="14" t="s">
        <v>3</v>
      </c>
      <c r="I10" s="1"/>
    </row>
    <row r="11" spans="1:9" x14ac:dyDescent="0.25">
      <c r="A11" s="1"/>
      <c r="B11" s="122" t="s">
        <v>104</v>
      </c>
      <c r="C11" s="123"/>
      <c r="D11" s="123"/>
      <c r="E11" s="123"/>
      <c r="F11" s="124"/>
      <c r="G11" s="71">
        <v>186875.81929764227</v>
      </c>
      <c r="H11" s="14" t="s">
        <v>3</v>
      </c>
      <c r="I11" s="1"/>
    </row>
    <row r="12" spans="1:9" x14ac:dyDescent="0.25">
      <c r="A12" s="1"/>
      <c r="B12" s="125" t="s">
        <v>247</v>
      </c>
      <c r="C12" s="126"/>
      <c r="D12" s="126"/>
      <c r="E12" s="126"/>
      <c r="F12" s="127"/>
      <c r="G12" s="70">
        <v>0</v>
      </c>
      <c r="H12" s="14" t="s">
        <v>3</v>
      </c>
      <c r="I12" s="1"/>
    </row>
    <row r="13" spans="1:9" x14ac:dyDescent="0.25">
      <c r="A13" s="1"/>
      <c r="B13" s="122" t="s">
        <v>58</v>
      </c>
      <c r="C13" s="123"/>
      <c r="D13" s="123"/>
      <c r="E13" s="123"/>
      <c r="F13" s="124"/>
      <c r="G13" s="23">
        <f>SUM(G10:G12)*'Fane 15. Nøgletal'!C22</f>
        <v>1861375.3946658089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9" t="s">
        <v>59</v>
      </c>
      <c r="C16" s="120"/>
      <c r="D16" s="120"/>
      <c r="E16" s="120"/>
      <c r="F16" s="120"/>
      <c r="G16" s="120"/>
      <c r="H16" s="121"/>
      <c r="I16" s="1"/>
    </row>
    <row r="17" spans="1:9" x14ac:dyDescent="0.25">
      <c r="A17" s="1"/>
      <c r="B17" s="122" t="s">
        <v>60</v>
      </c>
      <c r="C17" s="123"/>
      <c r="D17" s="123"/>
      <c r="E17" s="123"/>
      <c r="F17" s="124"/>
      <c r="G17" s="23">
        <f>(SUM(G10:G12)-G13)*(1+'Fane 15. Nøgletal'!C10)</f>
        <v>105108845.11629254</v>
      </c>
      <c r="H17" s="14" t="s">
        <v>3</v>
      </c>
      <c r="I17" s="1"/>
    </row>
    <row r="18" spans="1:9" x14ac:dyDescent="0.25">
      <c r="A18" s="1"/>
      <c r="B18" s="125" t="s">
        <v>248</v>
      </c>
      <c r="C18" s="126"/>
      <c r="D18" s="126"/>
      <c r="E18" s="126"/>
      <c r="F18" s="127"/>
      <c r="G18" s="71">
        <v>622074.88040769985</v>
      </c>
      <c r="H18" s="14" t="s">
        <v>3</v>
      </c>
      <c r="I18" s="1"/>
    </row>
    <row r="19" spans="1:9" x14ac:dyDescent="0.25">
      <c r="A19" s="1"/>
      <c r="B19" s="122" t="s">
        <v>61</v>
      </c>
      <c r="C19" s="123"/>
      <c r="D19" s="123"/>
      <c r="E19" s="123"/>
      <c r="F19" s="124"/>
      <c r="G19" s="23">
        <f>G17*'Fane 15. Nøgletal'!C22+G18*'Fane 15. Nøgletal'!C23</f>
        <v>1865838.6100179248</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9" t="s">
        <v>62</v>
      </c>
      <c r="C22" s="120"/>
      <c r="D22" s="120"/>
      <c r="E22" s="120"/>
      <c r="F22" s="120"/>
      <c r="G22" s="120"/>
      <c r="H22" s="121"/>
      <c r="I22" s="1"/>
    </row>
    <row r="23" spans="1:9" x14ac:dyDescent="0.25">
      <c r="A23" s="1"/>
      <c r="B23" s="122" t="s">
        <v>63</v>
      </c>
      <c r="C23" s="123"/>
      <c r="D23" s="123"/>
      <c r="E23" s="123"/>
      <c r="F23" s="124"/>
      <c r="G23" s="23">
        <f>(G17+G18-G19)*(1+'Fane 15. Nøgletal'!C12)</f>
        <v>105911223.48999996</v>
      </c>
      <c r="H23" s="14" t="s">
        <v>3</v>
      </c>
      <c r="I23" s="1"/>
    </row>
    <row r="24" spans="1:9" x14ac:dyDescent="0.25">
      <c r="A24" s="1"/>
      <c r="B24" s="125" t="s">
        <v>249</v>
      </c>
      <c r="C24" s="126"/>
      <c r="D24" s="126"/>
      <c r="E24" s="126"/>
      <c r="F24" s="127"/>
      <c r="G24" s="71">
        <v>710902.07734491013</v>
      </c>
      <c r="H24" s="14" t="s">
        <v>3</v>
      </c>
      <c r="I24" s="1"/>
    </row>
    <row r="25" spans="1:9" x14ac:dyDescent="0.25">
      <c r="A25" s="1"/>
      <c r="B25" s="122" t="s">
        <v>64</v>
      </c>
      <c r="C25" s="123"/>
      <c r="D25" s="123"/>
      <c r="E25" s="123"/>
      <c r="F25" s="124"/>
      <c r="G25" s="23">
        <f>(G23+G24)*'Fane 15. Nøgletal'!C24</f>
        <v>3028068.3661125945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9" t="s">
        <v>65</v>
      </c>
      <c r="C28" s="120"/>
      <c r="D28" s="120"/>
      <c r="E28" s="120"/>
      <c r="F28" s="120"/>
      <c r="G28" s="120"/>
      <c r="H28" s="121"/>
      <c r="I28" s="1"/>
    </row>
    <row r="29" spans="1:9" x14ac:dyDescent="0.25">
      <c r="A29" s="1"/>
      <c r="B29" s="122" t="s">
        <v>66</v>
      </c>
      <c r="C29" s="123"/>
      <c r="D29" s="123"/>
      <c r="E29" s="123"/>
      <c r="F29" s="124"/>
      <c r="G29" s="23">
        <f>(G23+G24-G25)*(1+'Fane 15. Nøgletal'!C12)</f>
        <v>105634860.12809657</v>
      </c>
      <c r="H29" s="14" t="s">
        <v>3</v>
      </c>
      <c r="I29" s="1"/>
    </row>
    <row r="30" spans="1:9" x14ac:dyDescent="0.25">
      <c r="A30" s="1"/>
      <c r="B30" s="122" t="s">
        <v>250</v>
      </c>
      <c r="C30" s="123"/>
      <c r="D30" s="123"/>
      <c r="E30" s="123"/>
      <c r="F30" s="124"/>
      <c r="G30" s="71">
        <v>58256.87159124</v>
      </c>
      <c r="H30" s="14" t="s">
        <v>3</v>
      </c>
      <c r="I30" s="1"/>
    </row>
    <row r="31" spans="1:9" x14ac:dyDescent="0.25">
      <c r="A31" s="1"/>
      <c r="B31" s="122" t="s">
        <v>67</v>
      </c>
      <c r="C31" s="123"/>
      <c r="D31" s="123"/>
      <c r="E31" s="123"/>
      <c r="F31" s="124"/>
      <c r="G31" s="23">
        <f>G29*'Fane 15. Nøgletal'!C24+G30*'Fane 15. Nøgletal'!C25</f>
        <v>3001632.0916067017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9" t="s">
        <v>130</v>
      </c>
      <c r="C34" s="120"/>
      <c r="D34" s="120"/>
      <c r="E34" s="120"/>
      <c r="F34" s="120"/>
      <c r="G34" s="120"/>
      <c r="H34" s="121"/>
      <c r="I34" s="1"/>
    </row>
    <row r="35" spans="1:9" x14ac:dyDescent="0.25">
      <c r="A35" s="1"/>
      <c r="B35" s="122" t="s">
        <v>215</v>
      </c>
      <c r="C35" s="123"/>
      <c r="D35" s="123"/>
      <c r="E35" s="123"/>
      <c r="F35" s="124"/>
      <c r="G35" s="23">
        <f>(G29+G30-G31)*(1+'Fane 15. Nøgletal'!C14)</f>
        <v>103030366.80827777</v>
      </c>
      <c r="H35" s="14" t="s">
        <v>3</v>
      </c>
      <c r="I35" s="1"/>
    </row>
    <row r="36" spans="1:9" x14ac:dyDescent="0.25">
      <c r="A36" s="1"/>
      <c r="B36" s="122" t="s">
        <v>251</v>
      </c>
      <c r="C36" s="123"/>
      <c r="D36" s="123"/>
      <c r="E36" s="123"/>
      <c r="F36" s="124"/>
      <c r="G36" s="71">
        <v>5281176.9881087709</v>
      </c>
      <c r="H36" s="14" t="s">
        <v>3</v>
      </c>
      <c r="I36" s="1"/>
    </row>
    <row r="37" spans="1:9" x14ac:dyDescent="0.25">
      <c r="A37" s="1"/>
      <c r="B37" s="122" t="s">
        <v>131</v>
      </c>
      <c r="C37" s="123"/>
      <c r="D37" s="123"/>
      <c r="E37" s="123"/>
      <c r="F37" s="124"/>
      <c r="G37" s="23">
        <f>(G35+G36)*'Fane 15. Nøgletal'!C26</f>
        <v>1603010.8481865209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9" t="s">
        <v>151</v>
      </c>
      <c r="C40" s="120"/>
      <c r="D40" s="120"/>
      <c r="E40" s="120"/>
      <c r="F40" s="120"/>
      <c r="G40" s="120"/>
      <c r="H40" s="121"/>
      <c r="I40" s="1"/>
    </row>
    <row r="41" spans="1:9" x14ac:dyDescent="0.25">
      <c r="A41" s="1"/>
      <c r="B41" s="122" t="s">
        <v>216</v>
      </c>
      <c r="C41" s="123"/>
      <c r="D41" s="123"/>
      <c r="E41" s="123"/>
      <c r="F41" s="124"/>
      <c r="G41" s="23">
        <f>(G35+G36-G37)*(1+'Fane 15. Nøgletal'!C14)</f>
        <v>107060671.10692908</v>
      </c>
      <c r="H41" s="14" t="s">
        <v>3</v>
      </c>
      <c r="I41" s="1"/>
    </row>
    <row r="42" spans="1:9" x14ac:dyDescent="0.25">
      <c r="A42" s="1"/>
      <c r="B42" s="40" t="s">
        <v>156</v>
      </c>
      <c r="C42" s="81"/>
      <c r="D42" s="81"/>
      <c r="E42" s="81"/>
      <c r="F42" s="82"/>
      <c r="G42" s="72">
        <v>577905.47174016014</v>
      </c>
      <c r="H42" s="14" t="s">
        <v>3</v>
      </c>
      <c r="I42" s="1"/>
    </row>
    <row r="43" spans="1:9" x14ac:dyDescent="0.25">
      <c r="A43" s="1"/>
      <c r="B43" s="122" t="s">
        <v>132</v>
      </c>
      <c r="C43" s="123"/>
      <c r="D43" s="123"/>
      <c r="E43" s="123"/>
      <c r="F43" s="124"/>
      <c r="G43" s="23">
        <f>(G41)*'Fane 15. Nøgletal'!C26+G42*'Fane 15. Nøgletal'!C27</f>
        <v>1584497.9323825503</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9" t="s">
        <v>259</v>
      </c>
      <c r="C52" s="120"/>
      <c r="D52" s="120"/>
      <c r="E52" s="120"/>
      <c r="F52" s="120"/>
      <c r="G52" s="120"/>
      <c r="H52" s="121"/>
      <c r="I52" s="1"/>
    </row>
    <row r="53" spans="1:9" x14ac:dyDescent="0.25">
      <c r="A53" s="1"/>
      <c r="B53" s="122" t="s">
        <v>217</v>
      </c>
      <c r="C53" s="123"/>
      <c r="D53" s="123"/>
      <c r="E53" s="123"/>
      <c r="F53" s="124"/>
      <c r="G53" s="23">
        <f>(G41+G42-G43)*(1+'Fane 15. Nøgletal'!C16)</f>
        <v>114623248.20090665</v>
      </c>
      <c r="H53" s="14" t="s">
        <v>3</v>
      </c>
      <c r="I53" s="1"/>
    </row>
    <row r="54" spans="1:9" x14ac:dyDescent="0.25">
      <c r="A54" s="1"/>
      <c r="B54" s="80" t="s">
        <v>195</v>
      </c>
      <c r="C54" s="81"/>
      <c r="D54" s="81"/>
      <c r="E54" s="81"/>
      <c r="F54" s="82"/>
      <c r="G54" s="23">
        <f>('Fane 2.1. Økonomisk ramme 2024'!C11+'Fane 2.1. Økonomisk ramme 2024'!C13+'Fane 2.1. Økonomisk ramme 2024'!C15)*(1+'Fane 15. Nøgletal'!C16)</f>
        <v>811855.24544319999</v>
      </c>
      <c r="H54" s="14" t="s">
        <v>3</v>
      </c>
      <c r="I54" s="1"/>
    </row>
    <row r="55" spans="1:9" x14ac:dyDescent="0.25">
      <c r="A55" s="1"/>
      <c r="B55" s="122" t="s">
        <v>218</v>
      </c>
      <c r="C55" s="123"/>
      <c r="D55" s="123"/>
      <c r="E55" s="123"/>
      <c r="F55" s="124"/>
      <c r="G55" s="74">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9" t="s">
        <v>258</v>
      </c>
      <c r="C58" s="120"/>
      <c r="D58" s="120"/>
      <c r="E58" s="120"/>
      <c r="F58" s="120"/>
      <c r="G58" s="120"/>
      <c r="H58" s="121"/>
      <c r="I58" s="1"/>
    </row>
    <row r="59" spans="1:9" x14ac:dyDescent="0.25">
      <c r="A59" s="1"/>
      <c r="B59" s="122" t="s">
        <v>219</v>
      </c>
      <c r="C59" s="123"/>
      <c r="D59" s="123"/>
      <c r="E59" s="123"/>
      <c r="F59" s="124"/>
      <c r="G59" s="23">
        <f>(G53+G54-G55)*(1+'Fane 15. Nøgletal'!C16)</f>
        <v>124762259.8048149</v>
      </c>
      <c r="H59" s="14" t="s">
        <v>3</v>
      </c>
      <c r="I59" s="1"/>
    </row>
    <row r="60" spans="1:9" x14ac:dyDescent="0.25">
      <c r="A60" s="1"/>
      <c r="B60" s="122" t="s">
        <v>220</v>
      </c>
      <c r="C60" s="123"/>
      <c r="D60" s="123"/>
      <c r="E60" s="123"/>
      <c r="F60" s="124"/>
      <c r="G60" s="74">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9" t="s">
        <v>141</v>
      </c>
      <c r="C63" s="120"/>
      <c r="D63" s="120"/>
      <c r="E63" s="120"/>
      <c r="F63" s="120"/>
      <c r="G63" s="120"/>
      <c r="H63" s="121"/>
      <c r="I63" s="1"/>
    </row>
    <row r="64" spans="1:9" x14ac:dyDescent="0.25">
      <c r="A64" s="1"/>
      <c r="B64" s="122" t="s">
        <v>221</v>
      </c>
      <c r="C64" s="123"/>
      <c r="D64" s="123"/>
      <c r="E64" s="123"/>
      <c r="F64" s="124"/>
      <c r="G64" s="23">
        <f>(G59-G60)*(1+'Fane 15. Nøgletal'!C16)</f>
        <v>134843050.39704394</v>
      </c>
      <c r="H64" s="14" t="s">
        <v>3</v>
      </c>
      <c r="I64" s="1"/>
    </row>
    <row r="65" spans="1:9" x14ac:dyDescent="0.25">
      <c r="A65" s="1"/>
      <c r="B65" s="122" t="s">
        <v>222</v>
      </c>
      <c r="C65" s="123"/>
      <c r="D65" s="123"/>
      <c r="E65" s="123"/>
      <c r="F65" s="124"/>
      <c r="G65" s="74">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9" t="s">
        <v>223</v>
      </c>
      <c r="C68" s="120"/>
      <c r="D68" s="120"/>
      <c r="E68" s="120"/>
      <c r="F68" s="120"/>
      <c r="G68" s="120"/>
      <c r="H68" s="121"/>
      <c r="I68" s="1"/>
    </row>
    <row r="69" spans="1:9" x14ac:dyDescent="0.25">
      <c r="A69" s="1"/>
      <c r="B69" s="122" t="s">
        <v>221</v>
      </c>
      <c r="C69" s="123"/>
      <c r="D69" s="123"/>
      <c r="E69" s="123"/>
      <c r="F69" s="124"/>
      <c r="G69" s="23">
        <f>(G64-G65)*(1+'Fane 15. Nøgletal'!C16)</f>
        <v>145738368.8691251</v>
      </c>
      <c r="H69" s="14" t="s">
        <v>3</v>
      </c>
      <c r="I69" s="1"/>
    </row>
    <row r="70" spans="1:9" x14ac:dyDescent="0.25">
      <c r="A70" s="1"/>
      <c r="B70" s="122" t="s">
        <v>222</v>
      </c>
      <c r="C70" s="123"/>
      <c r="D70" s="123"/>
      <c r="E70" s="123"/>
      <c r="F70" s="124"/>
      <c r="G70" s="74">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7WmnH22+XFnxTllAeIRn2+cTXl6o0G9d+ZNMmE4oCZNIJ1/a1kCcHEc90vWT8lgSb+UiyH0cdxt5Wk/laAuuKw==" saltValue="UynkDP1Oc9lE0rnkRdRch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76</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10</v>
      </c>
      <c r="C8" s="120"/>
      <c r="D8" s="120"/>
      <c r="E8" s="120"/>
      <c r="F8" s="120"/>
      <c r="G8" s="121"/>
      <c r="H8" s="1"/>
    </row>
    <row r="9" spans="1:8" x14ac:dyDescent="0.25">
      <c r="A9" s="1"/>
      <c r="B9" s="122" t="s">
        <v>271</v>
      </c>
      <c r="C9" s="123"/>
      <c r="D9" s="123"/>
      <c r="E9" s="123"/>
      <c r="F9" s="124"/>
      <c r="G9" s="22">
        <v>0</v>
      </c>
      <c r="H9" s="1"/>
    </row>
    <row r="10" spans="1:8" x14ac:dyDescent="0.25">
      <c r="A10" s="1"/>
      <c r="B10" s="33"/>
      <c r="C10" s="28"/>
      <c r="D10" s="28"/>
      <c r="E10" s="28"/>
      <c r="F10" s="28"/>
      <c r="G10" s="19"/>
      <c r="H10" s="1"/>
    </row>
    <row r="11" spans="1:8" ht="33" customHeight="1" x14ac:dyDescent="0.25">
      <c r="A11" s="1"/>
      <c r="B11" s="133" t="s">
        <v>264</v>
      </c>
      <c r="C11" s="133"/>
      <c r="D11" s="133"/>
      <c r="E11" s="133"/>
      <c r="F11" s="133"/>
      <c r="G11" s="13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W/3WcSWpDz7h29LN7iKtfILp7C7jjTUDKBdaMdeka1QyGKSCB3pEmuEwm+zAd0MZkhNZvhc4yEAvTE7gLzlbLQ==" saltValue="FhzMFaWpeNFXNIYdOW5PB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2023-11-05T12:44:13Z</dcterms:modified>
</cp:coreProperties>
</file>