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Energi Viborg Vand AS (S014)\ØR2024\"/>
    </mc:Choice>
  </mc:AlternateContent>
  <xr:revisionPtr revIDLastSave="0" documentId="13_ncr:1_{C0B31EE9-62F8-4567-8172-5C0B08EB5CA2}"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25" i="44" l="1"/>
  <c r="E16" i="44" l="1"/>
  <c r="E18" i="44" s="1"/>
  <c r="E17" i="44"/>
  <c r="E29" i="44" l="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C19" i="2" s="1"/>
  <c r="G52" i="30" l="1"/>
  <c r="G54" i="30" s="1"/>
  <c r="G58" i="30" s="1"/>
  <c r="G59" i="36"/>
  <c r="C13" i="15" s="1"/>
  <c r="C16" i="2"/>
  <c r="C17" i="2" s="1"/>
  <c r="C18" i="2" l="1"/>
  <c r="C20" i="2" s="1"/>
  <c r="C39" i="2" s="1"/>
  <c r="G64" i="36"/>
  <c r="C13" i="22" s="1"/>
  <c r="G69" i="36" l="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<sst xmlns="http://schemas.openxmlformats.org/spreadsheetml/2006/main" count="662" uniqueCount="297">
  <si>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</si>
  <si>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</si>
  <si>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</si>
  <si>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</si>
  <si>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</si>
  <si>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</si>
  <si>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</si>
  <si>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</si>
  <si>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</si>
  <si>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</si>
  <si>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</si>
  <si>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</si>
  <si>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</si>
  <si>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</si>
  <si>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</si>
  <si>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</si>
  <si>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</si>
  <si>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</si>
  <si>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</si>
  <si>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</si>
  <si>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</si>
  <si>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</si>
  <si>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</si>
  <si>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</si>
  <si>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</si>
  <si>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</si>
  <si>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</si>
  <si>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</si>
  <si>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</si>
  <si>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</si>
  <si>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</si>
  <si>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</si>
  <si>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</si>
  <si>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</si>
  <si>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</si>
  <si>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</si>
  <si>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</si>
  <si>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</si>
  <si>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</si>
  <si>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</si>
  <si>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</si>
  <si>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</si>
  <si>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</si>
  <si>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</si>
  <si>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</si>
  <si>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</si>
  <si>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</si>
  <si>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</si>
  <si>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</si>
  <si>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</si>
  <si>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</si>
  <si>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</si>
  <si>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</si>
  <si>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</si>
  <si>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</si>
  <si>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</si>
  <si>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</si>
  <si>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</si>
  <si>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</si>
  <si>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</si>
  <si>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</si>
  <si>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</si>
  <si>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</si>
  <si>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</si>
  <si>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</si>
  <si>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</si>
  <si>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</si>
  <si>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</si>
  <si>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</si>
  <si>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</si>
  <si>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</si>
  <si>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</si>
  <si>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</si>
  <si>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</si>
  <si>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</si>
  <si>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</si>
  <si>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</si>
  <si>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</si>
  <si>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</si>
  <si>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</si>
  <si>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</si>
  <si>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</si>
  <si>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</si>
  <si>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</si>
  <si>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</si>
  <si>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</si>
  <si>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</si>
  <si>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</si>
  <si>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</si>
  <si>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</si>
  <si>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</si>
  <si>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</si>
  <si>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</si>
  <si>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</si>
  <si>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</si>
  <si>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</si>
  <si>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</si>
  <si>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</si>
  <si>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</si>
  <si>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</si>
  <si>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</si>
  <si>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</si>
  <si>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</si>
  <si>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</si>
  <si>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</si>
  <si>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</si>
  <si>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</si>
  <si>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</si>
  <si>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</si>
  <si>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</si>
  <si>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</si>
  <si>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</si>
  <si>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</si>
  <si>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</si>
  <si>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</si>
  <si>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</si>
  <si>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</si>
  <si>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</si>
  <si>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</si>
  <si>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</si>
  <si>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</si>
  <si>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</si>
  <si>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</si>
  <si>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</si>
  <si>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</si>
  <si>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</si>
  <si>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</si>
  <si>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</si>
  <si>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</si>
  <si>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</si>
  <si>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</si>
  <si>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</si>
  <si>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</si>
  <si>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</si>
  <si>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</si>
  <si>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</si>
  <si>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</si>
  <si>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</si>
  <si>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</si>
  <si>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</si>
  <si>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</si>
  <si>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</si>
  <si>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</si>
  <si>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</si>
  <si>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</si>
  <si>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</si>
  <si>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</si>
  <si>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</si>
  <si>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</si>
  <si>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</si>
  <si>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</si>
  <si>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</si>
  <si>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</si>
  <si>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</si>
  <si>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</si>
  <si>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</si>
  <si>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</si>
  <si>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</si>
  <si>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</si>
  <si>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</si>
  <si>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</si>
  <si>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</si>
  <si>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</si>
  <si>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</si>
  <si>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</si>
  <si>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</si>
  <si>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</si>
  <si>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</si>
  <si>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</si>
  <si>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</si>
  <si>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</si>
  <si>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</si>
  <si>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</si>
  <si>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</si>
  <si>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</si>
  <si>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</si>
  <si>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</si>
  <si>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</si>
  <si>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</si>
  <si>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</si>
  <si>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</si>
  <si>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</si>
  <si>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</si>
  <si>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</si>
  <si>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</si>
  <si>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</si>
  <si>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</si>
  <si>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</si>
  <si>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</si>
  <si>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</si>
  <si>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</si>
  <si>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</si>
  <si>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</si>
  <si>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</si>
  <si>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</si>
  <si>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</si>
  <si>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</si>
  <si>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</si>
  <si>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</si>
  <si>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</si>
  <si>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</si>
  <si>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</si>
  <si>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</si>
  <si>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</si>
  <si>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</si>
  <si>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</si>
  <si>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</si>
  <si>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</si>
  <si>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</si>
  <si>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</si>
  <si>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</si>
  <si>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</si>
  <si>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</si>
  <si>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</si>
  <si>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</si>
  <si>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</si>
  <si>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</si>
  <si>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</si>
  <si>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</si>
  <si>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</si>
  <si>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</si>
  <si>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</si>
  <si>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</si>
  <si>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</si>
  <si>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</si>
  <si>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</si>
  <si>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</si>
  <si>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</si>
  <si>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</si>
  <si>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</si>
  <si>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</si>
  <si>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</si>
  <si>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</si>
  <si>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</si>
  <si>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</si>
  <si>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</si>
  <si>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</si>
  <si>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</si>
  <si>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</si>
  <si>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</si>
  <si>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</si>
  <si>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</si>
  <si>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</si>
  <si>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</si>
  <si>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</si>
  <si>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</si>
  <si>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</si>
  <si>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</si>
  <si>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</si>
  <si>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</si>
  <si>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</si>
  <si>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</si>
  <si>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</si>
  <si>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</si>
  <si>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</si>
  <si>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</si>
  <si>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</si>
  <si>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</si>
  <si>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</si>
  <si>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</si>
  <si>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</si>
  <si>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</si>
  <si>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</si>
  <si>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</si>
  <si>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</si>
  <si>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</si>
  <si>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</si>
  <si>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</si>
  <si>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</si>
  <si>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</si>
  <si>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</si>
  <si>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</si>
  <si>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</si>
  <si>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</si>
  <si>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</si>
  <si>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</si>
  <si>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</si>
  <si>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</si>
  <si>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</si>
  <si>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</si>
  <si>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</si>
  <si>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</si>
  <si>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</si>
  <si>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</si>
  <si>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Digitalisering</t>
  </si>
  <si>
    <t>Recipientbeskyttelse</t>
  </si>
  <si>
    <t>Separeringsprojekter</t>
  </si>
  <si>
    <t>Serviceniveau</t>
  </si>
  <si>
    <t>Strukturel omlægning</t>
  </si>
  <si>
    <t>Byggemodninger 2022</t>
  </si>
  <si>
    <t>Spildevandsafgift</t>
  </si>
  <si>
    <t>Afgift til Forsyningssekretariatet</t>
  </si>
  <si>
    <t>Køb af ydelser og produkter fra andre vandselskaber</t>
  </si>
  <si>
    <t>Ejendomsskatter</t>
  </si>
  <si>
    <t>Slamforbrænding</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</si>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</sst>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7"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100" t="s">
        <v>252</v>
      </c>
      <c r="E8" s="100"/>
      <c r="F8" s="100"/>
      <c r="G8" s="100"/>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5"/>
      <c r="I12" s="1"/>
    </row>
    <row r="13" spans="1:9" x14ac:dyDescent="0.25">
      <c r="A13" s="1"/>
      <c r="B13" s="1"/>
      <c r="C13" s="6" t="s">
        <v>6</v>
      </c>
      <c r="D13" s="104" t="s">
        <v>196</v>
      </c>
      <c r="E13" s="105"/>
      <c r="F13" s="105"/>
      <c r="G13" s="106"/>
      <c r="H13" s="5"/>
      <c r="I13" s="1"/>
    </row>
    <row r="14" spans="1:9" x14ac:dyDescent="0.25">
      <c r="A14" s="1"/>
      <c r="B14" s="1"/>
      <c r="C14" s="6" t="s">
        <v>16</v>
      </c>
      <c r="D14" s="89" t="s">
        <v>197</v>
      </c>
      <c r="E14" s="90"/>
      <c r="F14" s="90"/>
      <c r="G14" s="91"/>
      <c r="H14" s="5"/>
      <c r="I14" s="1"/>
    </row>
    <row r="15" spans="1:9" x14ac:dyDescent="0.25">
      <c r="A15" s="1"/>
      <c r="B15" s="1"/>
      <c r="C15" s="6" t="s">
        <v>31</v>
      </c>
      <c r="D15" s="89" t="s">
        <v>262</v>
      </c>
      <c r="E15" s="90"/>
      <c r="F15" s="90"/>
      <c r="G15" s="91"/>
      <c r="H15" s="5"/>
      <c r="I15" s="1"/>
    </row>
    <row r="16" spans="1:9" x14ac:dyDescent="0.25">
      <c r="A16" s="1"/>
      <c r="B16" s="1"/>
      <c r="C16" s="6" t="s">
        <v>32</v>
      </c>
      <c r="D16" s="89" t="s">
        <v>263</v>
      </c>
      <c r="E16" s="90"/>
      <c r="F16" s="90"/>
      <c r="G16" s="91"/>
      <c r="H16" s="5"/>
      <c r="I16" s="1"/>
    </row>
    <row r="17" spans="1:9" x14ac:dyDescent="0.25">
      <c r="A17" s="1"/>
      <c r="B17" s="1"/>
      <c r="C17" s="6" t="s">
        <v>101</v>
      </c>
      <c r="D17" s="89" t="s">
        <v>198</v>
      </c>
      <c r="E17" s="90"/>
      <c r="F17" s="90"/>
      <c r="G17" s="91"/>
      <c r="H17" s="5"/>
      <c r="I17" s="1"/>
    </row>
    <row r="18" spans="1:9" x14ac:dyDescent="0.25">
      <c r="A18" s="1"/>
      <c r="B18" s="1"/>
      <c r="C18" s="6" t="s">
        <v>88</v>
      </c>
      <c r="D18" s="101" t="s">
        <v>79</v>
      </c>
      <c r="E18" s="102"/>
      <c r="F18" s="102"/>
      <c r="G18" s="103"/>
      <c r="H18" s="5"/>
      <c r="I18" s="1"/>
    </row>
    <row r="19" spans="1:9" x14ac:dyDescent="0.25">
      <c r="A19" s="1"/>
      <c r="B19" s="1"/>
      <c r="C19" s="6" t="s">
        <v>89</v>
      </c>
      <c r="D19" s="101" t="s">
        <v>80</v>
      </c>
      <c r="E19" s="102"/>
      <c r="F19" s="102"/>
      <c r="G19" s="103"/>
      <c r="H19" s="5"/>
      <c r="I19" s="1"/>
    </row>
    <row r="20" spans="1:9" x14ac:dyDescent="0.25">
      <c r="A20" s="1"/>
      <c r="B20" s="1"/>
      <c r="C20" s="6" t="s">
        <v>7</v>
      </c>
      <c r="D20" s="101" t="s">
        <v>10</v>
      </c>
      <c r="E20" s="102"/>
      <c r="F20" s="102"/>
      <c r="G20" s="103"/>
      <c r="H20" s="5"/>
      <c r="I20" s="1"/>
    </row>
    <row r="21" spans="1:9" x14ac:dyDescent="0.25">
      <c r="A21" s="1"/>
      <c r="B21" s="1"/>
      <c r="C21" s="6" t="s">
        <v>90</v>
      </c>
      <c r="D21" s="93" t="s">
        <v>12</v>
      </c>
      <c r="E21" s="94"/>
      <c r="F21" s="94"/>
      <c r="G21" s="95"/>
      <c r="H21" s="5"/>
      <c r="I21" s="1"/>
    </row>
    <row r="22" spans="1:9" x14ac:dyDescent="0.25">
      <c r="A22" s="1"/>
      <c r="B22" s="1"/>
      <c r="C22" s="6" t="s">
        <v>71</v>
      </c>
      <c r="D22" s="96" t="s">
        <v>199</v>
      </c>
      <c r="E22" s="97"/>
      <c r="F22" s="97"/>
      <c r="G22" s="98"/>
      <c r="H22" s="5"/>
      <c r="I22" s="1"/>
    </row>
    <row r="23" spans="1:9" x14ac:dyDescent="0.25">
      <c r="A23" s="1"/>
      <c r="B23" s="1"/>
      <c r="C23" s="6" t="s">
        <v>8</v>
      </c>
      <c r="D23" s="96" t="s">
        <v>181</v>
      </c>
      <c r="E23" s="97"/>
      <c r="F23" s="97"/>
      <c r="G23" s="98"/>
      <c r="H23" s="5"/>
      <c r="I23" s="1"/>
    </row>
    <row r="24" spans="1:9" x14ac:dyDescent="0.25">
      <c r="A24" s="1"/>
      <c r="B24" s="1"/>
      <c r="C24" s="6" t="s">
        <v>9</v>
      </c>
      <c r="D24" s="96" t="s">
        <v>200</v>
      </c>
      <c r="E24" s="97"/>
      <c r="F24" s="97"/>
      <c r="G24" s="98"/>
      <c r="H24" s="5"/>
      <c r="I24" s="1"/>
    </row>
    <row r="25" spans="1:9" x14ac:dyDescent="0.25">
      <c r="A25" s="1"/>
      <c r="B25" s="1"/>
      <c r="C25" s="6" t="s">
        <v>166</v>
      </c>
      <c r="D25" s="96" t="s">
        <v>160</v>
      </c>
      <c r="E25" s="97"/>
      <c r="F25" s="97"/>
      <c r="G25" s="98"/>
      <c r="H25" s="1"/>
      <c r="I25" s="1"/>
    </row>
    <row r="26" spans="1:9" x14ac:dyDescent="0.25">
      <c r="A26" s="1"/>
      <c r="B26" s="1"/>
      <c r="C26" s="6" t="s">
        <v>167</v>
      </c>
      <c r="D26" s="96" t="s">
        <v>72</v>
      </c>
      <c r="E26" s="97"/>
      <c r="F26" s="97"/>
      <c r="G26" s="98"/>
      <c r="H26" s="1"/>
      <c r="I26" s="1"/>
    </row>
    <row r="27" spans="1:9" x14ac:dyDescent="0.25">
      <c r="A27" s="1"/>
      <c r="B27" s="1"/>
      <c r="C27" s="6" t="s">
        <v>168</v>
      </c>
      <c r="D27" s="96" t="s">
        <v>73</v>
      </c>
      <c r="E27" s="97"/>
      <c r="F27" s="97"/>
      <c r="G27" s="98"/>
      <c r="H27" s="1"/>
      <c r="I27" s="1"/>
    </row>
    <row r="28" spans="1:9" x14ac:dyDescent="0.25">
      <c r="A28" s="1"/>
      <c r="B28" s="1"/>
      <c r="C28" s="6" t="s">
        <v>15</v>
      </c>
      <c r="D28" s="96" t="s">
        <v>74</v>
      </c>
      <c r="E28" s="97"/>
      <c r="F28" s="97"/>
      <c r="G28" s="98"/>
      <c r="H28" s="1"/>
      <c r="I28" s="1"/>
    </row>
    <row r="29" spans="1:9" x14ac:dyDescent="0.25">
      <c r="A29" s="1"/>
      <c r="B29" s="1"/>
      <c r="C29" s="6" t="s">
        <v>34</v>
      </c>
      <c r="D29" s="96" t="s">
        <v>114</v>
      </c>
      <c r="E29" s="97"/>
      <c r="F29" s="97"/>
      <c r="G29" s="98"/>
      <c r="H29" s="1"/>
      <c r="I29" s="1"/>
    </row>
    <row r="30" spans="1:9" x14ac:dyDescent="0.25">
      <c r="A30" s="1"/>
      <c r="B30" s="1"/>
      <c r="C30" s="6" t="s">
        <v>35</v>
      </c>
      <c r="D30" s="96" t="s">
        <v>33</v>
      </c>
      <c r="E30" s="97"/>
      <c r="F30" s="97"/>
      <c r="G30" s="98"/>
      <c r="H30" s="1"/>
      <c r="I30" s="1"/>
    </row>
    <row r="31" spans="1:9" x14ac:dyDescent="0.25">
      <c r="A31" s="1"/>
      <c r="B31" s="1"/>
      <c r="C31" s="6" t="s">
        <v>169</v>
      </c>
      <c r="D31" s="107" t="s">
        <v>87</v>
      </c>
      <c r="E31" s="108"/>
      <c r="F31" s="108"/>
      <c r="G31" s="10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oSBkrL/h+thnXFjRCzRNlG1o+h/Jdt2U/19eqCwlyweBwfR0K1EhlKvIWTtM9XkI/lv6ne/hUSNosmltxx0ZuA==" saltValue="lyNJ1yN7zZMjCDCh63530A=="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224</v>
      </c>
      <c r="C8" s="118"/>
      <c r="D8" s="119"/>
      <c r="E8" s="1"/>
      <c r="F8" s="1"/>
    </row>
    <row r="9" spans="1:6" ht="15" customHeight="1" x14ac:dyDescent="0.25">
      <c r="A9" s="1"/>
      <c r="B9" s="27" t="s">
        <v>29</v>
      </c>
      <c r="C9" s="50" t="s">
        <v>225</v>
      </c>
      <c r="D9" s="11"/>
      <c r="E9" s="1"/>
      <c r="F9" s="1"/>
    </row>
    <row r="10" spans="1:6" ht="15" customHeight="1" x14ac:dyDescent="0.25">
      <c r="A10" s="1"/>
      <c r="B10" s="81" t="s">
        <v>290</v>
      </c>
      <c r="C10" s="9">
        <v>2002933</v>
      </c>
      <c r="D10" s="14" t="s">
        <v>3</v>
      </c>
      <c r="E10" s="1"/>
      <c r="F10" s="1"/>
    </row>
    <row r="11" spans="1:6" ht="15" customHeight="1" x14ac:dyDescent="0.25">
      <c r="A11" s="1"/>
      <c r="B11" s="81" t="s">
        <v>291</v>
      </c>
      <c r="C11" s="9">
        <v>130932</v>
      </c>
      <c r="D11" s="14" t="s">
        <v>3</v>
      </c>
      <c r="E11" s="1"/>
      <c r="F11" s="1"/>
    </row>
    <row r="12" spans="1:6" x14ac:dyDescent="0.25">
      <c r="A12" s="1"/>
      <c r="B12" s="81" t="s">
        <v>292</v>
      </c>
      <c r="C12" s="9">
        <v>914535</v>
      </c>
      <c r="D12" s="14" t="s">
        <v>3</v>
      </c>
      <c r="E12" s="1"/>
      <c r="F12" s="1"/>
    </row>
    <row r="13" spans="1:6" x14ac:dyDescent="0.25">
      <c r="A13" s="1"/>
      <c r="B13" s="81" t="s">
        <v>293</v>
      </c>
      <c r="C13" s="9">
        <v>306747</v>
      </c>
      <c r="D13" s="14" t="s">
        <v>3</v>
      </c>
      <c r="E13" s="1"/>
      <c r="F13" s="1"/>
    </row>
    <row r="14" spans="1:6" x14ac:dyDescent="0.25">
      <c r="A14" s="1"/>
      <c r="B14" s="81"/>
      <c r="C14" s="9"/>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3355147</v>
      </c>
      <c r="D20" s="13" t="s">
        <v>3</v>
      </c>
      <c r="E20" s="1"/>
      <c r="F20" s="1"/>
    </row>
    <row r="21" spans="1:6" x14ac:dyDescent="0.25">
      <c r="A21" s="1"/>
      <c r="B21" s="33" t="s">
        <v>227</v>
      </c>
      <c r="C21" s="12">
        <f>C20*(1+'Fane 15. Nøgletal'!C16)^2</f>
        <v>3919243.3021100797</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7" t="s">
        <v>99</v>
      </c>
      <c r="C24" s="118"/>
      <c r="D24" s="119"/>
      <c r="E24" s="1"/>
      <c r="F24" s="1"/>
    </row>
    <row r="25" spans="1:6" x14ac:dyDescent="0.25">
      <c r="A25" s="1"/>
      <c r="B25" s="81" t="s">
        <v>109</v>
      </c>
      <c r="C25" s="9">
        <v>0</v>
      </c>
      <c r="D25" s="14" t="s">
        <v>3</v>
      </c>
      <c r="E25" s="1"/>
      <c r="F25" s="1"/>
    </row>
    <row r="26" spans="1:6" x14ac:dyDescent="0.25">
      <c r="A26" s="1"/>
      <c r="B26" s="81" t="s">
        <v>123</v>
      </c>
      <c r="C26" s="9">
        <v>0</v>
      </c>
      <c r="D26" s="14" t="s">
        <v>3</v>
      </c>
      <c r="E26" s="1"/>
      <c r="F26" s="1"/>
    </row>
    <row r="27" spans="1:6" x14ac:dyDescent="0.25">
      <c r="A27" s="1"/>
      <c r="B27" s="81" t="s">
        <v>142</v>
      </c>
      <c r="C27" s="9">
        <v>0</v>
      </c>
      <c r="D27" s="14" t="s">
        <v>3</v>
      </c>
      <c r="E27" s="1"/>
      <c r="F27" s="1"/>
    </row>
    <row r="28" spans="1:6" x14ac:dyDescent="0.25">
      <c r="A28" s="1"/>
      <c r="B28" s="34" t="s">
        <v>261</v>
      </c>
      <c r="C28" s="9">
        <v>0</v>
      </c>
      <c r="D28" s="38" t="s">
        <v>3</v>
      </c>
      <c r="E28" s="1"/>
      <c r="F28" s="1"/>
    </row>
    <row r="29" spans="1:6" x14ac:dyDescent="0.25">
      <c r="A29" s="1"/>
      <c r="B29" s="117"/>
      <c r="C29" s="118"/>
      <c r="D29" s="119"/>
      <c r="E29" s="1"/>
      <c r="F29" s="1"/>
    </row>
    <row r="30" spans="1:6" x14ac:dyDescent="0.25">
      <c r="A30" s="1"/>
      <c r="B30" s="1"/>
      <c r="C30" s="1"/>
      <c r="D30" s="1"/>
      <c r="E30" s="1"/>
      <c r="F30" s="1"/>
    </row>
    <row r="31" spans="1:6" x14ac:dyDescent="0.25">
      <c r="A31" s="1"/>
      <c r="B31" s="1"/>
      <c r="C31" s="1"/>
      <c r="D31" s="1"/>
      <c r="E31" s="1"/>
      <c r="F31" s="1"/>
    </row>
    <row r="32" spans="1:6" x14ac:dyDescent="0.25">
      <c r="A32" s="1"/>
      <c r="B32" s="117" t="s">
        <v>81</v>
      </c>
      <c r="C32" s="118"/>
      <c r="D32" s="119"/>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7"/>
      <c r="C37" s="118"/>
      <c r="D37" s="119"/>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JPFZzjm8D/Pmd3Hja6BZ8gqzRMaGRmEn8+CAhj9hMa7Zuhx5YX36VDEhDcyorFtCywsnyLEfYqbuvipHfcH77g==" saltValue="4ErbkWsO5yiomd4IkHrT9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AA46-C15F-4945-B966-0B537888B2CB}">
  <dimension ref="A1:G51"/>
  <sheetViews>
    <sheetView showGridLines="0" view="pageLayout" zoomScaleNormal="10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7" t="s">
        <v>137</v>
      </c>
      <c r="C8" s="118"/>
      <c r="D8" s="118"/>
      <c r="E8" s="118"/>
      <c r="F8" s="119"/>
      <c r="G8" s="1"/>
    </row>
    <row r="9" spans="1:7" ht="15" customHeight="1" x14ac:dyDescent="0.25">
      <c r="A9" s="1"/>
      <c r="B9" s="120" t="s">
        <v>272</v>
      </c>
      <c r="C9" s="121"/>
      <c r="D9" s="122"/>
      <c r="E9" s="9">
        <v>-6047174</v>
      </c>
      <c r="F9" s="14" t="s">
        <v>3</v>
      </c>
      <c r="G9" s="1"/>
    </row>
    <row r="10" spans="1:7" ht="15" customHeight="1" x14ac:dyDescent="0.25">
      <c r="A10" s="1"/>
      <c r="B10" s="120" t="s">
        <v>143</v>
      </c>
      <c r="C10" s="121"/>
      <c r="D10" s="122"/>
      <c r="E10" s="9">
        <v>2771815</v>
      </c>
      <c r="F10" s="14" t="s">
        <v>3</v>
      </c>
      <c r="G10" s="1"/>
    </row>
    <row r="11" spans="1:7" ht="15" customHeight="1" x14ac:dyDescent="0.25">
      <c r="A11" s="1"/>
      <c r="B11" s="120" t="s">
        <v>273</v>
      </c>
      <c r="C11" s="121"/>
      <c r="D11" s="122"/>
      <c r="E11" s="9">
        <v>-7326849</v>
      </c>
      <c r="F11" s="14" t="s">
        <v>3</v>
      </c>
      <c r="G11" s="1"/>
    </row>
    <row r="12" spans="1:7" x14ac:dyDescent="0.25">
      <c r="A12" s="1"/>
      <c r="B12" s="33"/>
      <c r="C12" s="28"/>
      <c r="D12" s="28"/>
      <c r="E12" s="28"/>
      <c r="F12" s="19"/>
      <c r="G12" s="1"/>
    </row>
    <row r="13" spans="1:7" ht="42" customHeight="1" x14ac:dyDescent="0.25">
      <c r="A13" s="1"/>
      <c r="B13" s="114" t="s">
        <v>274</v>
      </c>
      <c r="C13" s="115"/>
      <c r="D13" s="115"/>
      <c r="E13" s="115"/>
      <c r="F13" s="116"/>
      <c r="G13" s="1"/>
    </row>
    <row r="14" spans="1:7" ht="15" customHeight="1" x14ac:dyDescent="0.25">
      <c r="A14" s="1"/>
      <c r="B14" s="1"/>
      <c r="C14" s="1"/>
      <c r="D14" s="1"/>
      <c r="E14" s="1"/>
      <c r="F14" s="1"/>
      <c r="G14" s="1"/>
    </row>
    <row r="15" spans="1:7" x14ac:dyDescent="0.25">
      <c r="A15" s="1"/>
      <c r="B15" s="75" t="s">
        <v>275</v>
      </c>
      <c r="C15" s="76"/>
      <c r="D15" s="76"/>
      <c r="E15" s="76"/>
      <c r="F15" s="77"/>
      <c r="G15" s="1"/>
    </row>
    <row r="16" spans="1:7" x14ac:dyDescent="0.25">
      <c r="A16" s="1"/>
      <c r="B16" s="78" t="s">
        <v>276</v>
      </c>
      <c r="C16" s="79"/>
      <c r="D16" s="80"/>
      <c r="E16" s="9">
        <f>IF(E11&lt;0,E11,0)</f>
        <v>-7326849</v>
      </c>
      <c r="F16" s="14" t="s">
        <v>3</v>
      </c>
      <c r="G16" s="1"/>
    </row>
    <row r="17" spans="1:7" x14ac:dyDescent="0.25">
      <c r="A17" s="1"/>
      <c r="B17" s="78" t="s">
        <v>277</v>
      </c>
      <c r="C17" s="79"/>
      <c r="D17" s="80"/>
      <c r="E17" s="9">
        <f>IF(SUM(E10)&gt;0,SUM(E10),0)</f>
        <v>2771815</v>
      </c>
      <c r="F17" s="14" t="s">
        <v>3</v>
      </c>
      <c r="G17" s="1"/>
    </row>
    <row r="18" spans="1:7" x14ac:dyDescent="0.25">
      <c r="A18" s="1"/>
      <c r="B18" s="82" t="s">
        <v>278</v>
      </c>
      <c r="C18" s="83"/>
      <c r="D18" s="84"/>
      <c r="E18" s="62">
        <f>IF(SUM(E16:E17)&gt;0,0,SUM(E16:E17))</f>
        <v>-4555034</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279</v>
      </c>
      <c r="C21" s="76"/>
      <c r="D21" s="76"/>
      <c r="E21" s="76"/>
      <c r="F21" s="77"/>
      <c r="G21" s="1"/>
    </row>
    <row r="22" spans="1:7" x14ac:dyDescent="0.25">
      <c r="A22" s="1"/>
      <c r="B22" s="78" t="s">
        <v>280</v>
      </c>
      <c r="C22" s="79"/>
      <c r="D22" s="80"/>
      <c r="E22" s="9">
        <v>155496839</v>
      </c>
      <c r="F22" s="14" t="s">
        <v>3</v>
      </c>
      <c r="G22" s="1"/>
    </row>
    <row r="23" spans="1:7" x14ac:dyDescent="0.25">
      <c r="A23" s="1"/>
      <c r="B23" s="78" t="s">
        <v>281</v>
      </c>
      <c r="C23" s="79"/>
      <c r="D23" s="80"/>
      <c r="E23" s="9">
        <v>140778610</v>
      </c>
      <c r="F23" s="14" t="s">
        <v>3</v>
      </c>
      <c r="G23" s="1"/>
    </row>
    <row r="24" spans="1:7" x14ac:dyDescent="0.25">
      <c r="A24" s="1"/>
      <c r="B24" s="78" t="s">
        <v>30</v>
      </c>
      <c r="C24" s="79"/>
      <c r="D24" s="80"/>
      <c r="E24" s="9">
        <v>0</v>
      </c>
      <c r="F24" s="14" t="s">
        <v>3</v>
      </c>
      <c r="G24" s="1"/>
    </row>
    <row r="25" spans="1:7" x14ac:dyDescent="0.25">
      <c r="A25" s="1"/>
      <c r="B25" s="82" t="s">
        <v>282</v>
      </c>
      <c r="C25" s="83"/>
      <c r="D25" s="84"/>
      <c r="E25" s="62">
        <f>E22-E23-E24</f>
        <v>14718229</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7" t="s">
        <v>283</v>
      </c>
      <c r="C28" s="118"/>
      <c r="D28" s="118"/>
      <c r="E28" s="118"/>
      <c r="F28" s="119"/>
      <c r="G28" s="1"/>
    </row>
    <row r="29" spans="1:7" x14ac:dyDescent="0.25">
      <c r="A29" s="1"/>
      <c r="B29" s="132" t="s">
        <v>116</v>
      </c>
      <c r="C29" s="133"/>
      <c r="D29" s="134"/>
      <c r="E29" s="9">
        <f>IF(E18&lt;0,IF(E25&lt;0,SUM(E18,E25),IF(E10&gt;0,SUM(E10:E11),E18)),IF(AND(E25&lt;0,SUM(E25,E11)&lt;0),IF(E11&lt;0,E25,IF(SUM(E10:E11)&gt;0,SUM(E25,E11),IF(AND(E25&lt;0,E18=0,E11&gt;0),IF(SUM(E9:E11)&gt;0,E25+E11,E25)))),0))</f>
        <v>-4555034</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-2277517</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H0BkBxWeFp6drc1jU0XsADCEzhiUOElm9TlTOF3uz6qFjUkmLYYISK/7Z6gtrNETjFGeg+DCikDfqaysFkUMkA==" saltValue="CwEijF6srDGGGZqkolBChw=="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189</v>
      </c>
      <c r="C8" s="118"/>
      <c r="D8" s="118"/>
      <c r="E8" s="118"/>
      <c r="F8" s="118"/>
      <c r="G8" s="118"/>
      <c r="H8" s="119"/>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7" t="s">
        <v>180</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Lg/uP9ZU7kp2mDPERAXmtRrfCQPP+YzzDO+aGqoEAoFGVQi33at1V9MKkIejv75eGNKLUzGQuJI5fx7aR4xa5g==" saltValue="dHy9BglXcyncHeyfBRNAeA=="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228</v>
      </c>
      <c r="C9" s="118"/>
      <c r="D9" s="118"/>
      <c r="E9" s="118"/>
      <c r="F9" s="119"/>
      <c r="G9" s="1"/>
    </row>
    <row r="10" spans="1:7" x14ac:dyDescent="0.25">
      <c r="A10" s="1"/>
      <c r="B10" s="114" t="s">
        <v>82</v>
      </c>
      <c r="C10" s="115"/>
      <c r="D10" s="116"/>
      <c r="E10" s="7">
        <v>0</v>
      </c>
      <c r="F10" s="8" t="s">
        <v>3</v>
      </c>
      <c r="G10" s="1"/>
    </row>
    <row r="11" spans="1:7" x14ac:dyDescent="0.25">
      <c r="A11" s="1"/>
      <c r="B11" s="120" t="s">
        <v>229</v>
      </c>
      <c r="C11" s="121"/>
      <c r="D11" s="122"/>
      <c r="E11" s="7">
        <v>0</v>
      </c>
      <c r="F11" s="8" t="s">
        <v>3</v>
      </c>
      <c r="G11" s="1"/>
    </row>
    <row r="12" spans="1:7" x14ac:dyDescent="0.25">
      <c r="A12" s="1"/>
      <c r="B12" s="135" t="s">
        <v>83</v>
      </c>
      <c r="C12" s="136"/>
      <c r="D12" s="137"/>
      <c r="E12" s="10">
        <f>E11-E10</f>
        <v>0</v>
      </c>
      <c r="F12" s="11" t="s">
        <v>3</v>
      </c>
      <c r="G12" s="1"/>
    </row>
    <row r="13" spans="1:7" x14ac:dyDescent="0.25">
      <c r="A13" s="1"/>
      <c r="B13" s="117" t="s">
        <v>78</v>
      </c>
      <c r="C13" s="118"/>
      <c r="D13" s="118"/>
      <c r="E13" s="118"/>
      <c r="F13" s="119"/>
      <c r="G13" s="1"/>
    </row>
    <row r="14" spans="1:7" x14ac:dyDescent="0.25">
      <c r="A14" s="1"/>
      <c r="B14" s="120" t="s">
        <v>230</v>
      </c>
      <c r="C14" s="121"/>
      <c r="D14" s="122"/>
      <c r="E14" s="7">
        <v>0</v>
      </c>
      <c r="F14" s="8" t="s">
        <v>3</v>
      </c>
      <c r="G14" s="1"/>
    </row>
    <row r="15" spans="1:7" x14ac:dyDescent="0.25">
      <c r="A15" s="1"/>
      <c r="B15" s="114" t="s">
        <v>231</v>
      </c>
      <c r="C15" s="115"/>
      <c r="D15" s="116"/>
      <c r="E15" s="7">
        <v>0</v>
      </c>
      <c r="F15" s="8" t="s">
        <v>3</v>
      </c>
      <c r="G15" s="1"/>
    </row>
    <row r="16" spans="1:7" x14ac:dyDescent="0.25">
      <c r="A16" s="1"/>
      <c r="B16" s="135" t="s">
        <v>83</v>
      </c>
      <c r="C16" s="136"/>
      <c r="D16" s="137"/>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6z87eQptJZVkQUfoH1+m2vYzeDb1QeIH8iuH6fZPspSW5zdOmlLEQxvkfi1ysIeo/WVcPm16NBq7uiFlsgXqLQ==" saltValue="pTmG0pR0nHk6+yt7Lt1WC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149</v>
      </c>
      <c r="C8" s="118"/>
      <c r="D8" s="118"/>
      <c r="E8" s="118"/>
      <c r="F8" s="118"/>
      <c r="G8" s="118"/>
      <c r="H8" s="118"/>
      <c r="I8" s="118"/>
      <c r="J8" s="118"/>
      <c r="K8" s="119"/>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265</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oQ3aXWh8R+z8rrx16nFI5VQYke6LpD6kNX+ckJg9Mqk4OVGqKThdfTDfkZCd/EaGIwgl2Vw8z6L3SEuxJ2BA7w==" saltValue="/ArzDES+/+UOYaDFlxmAU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284</v>
      </c>
      <c r="C11" s="21">
        <v>0</v>
      </c>
      <c r="D11" s="14" t="s">
        <v>3</v>
      </c>
      <c r="E11" s="9">
        <v>784130</v>
      </c>
      <c r="F11" s="14" t="s">
        <v>3</v>
      </c>
      <c r="G11" s="1"/>
    </row>
    <row r="12" spans="1:7" x14ac:dyDescent="0.25">
      <c r="A12" s="1"/>
      <c r="B12" s="24" t="s">
        <v>285</v>
      </c>
      <c r="C12" s="21">
        <v>615</v>
      </c>
      <c r="D12" s="14" t="s">
        <v>3</v>
      </c>
      <c r="E12" s="9">
        <v>18235</v>
      </c>
      <c r="F12" s="14" t="s">
        <v>3</v>
      </c>
      <c r="G12" s="1"/>
    </row>
    <row r="13" spans="1:7" x14ac:dyDescent="0.25">
      <c r="A13" s="1"/>
      <c r="B13" s="24" t="s">
        <v>286</v>
      </c>
      <c r="C13" s="21">
        <v>238543</v>
      </c>
      <c r="D13" s="14" t="s">
        <v>3</v>
      </c>
      <c r="E13" s="9">
        <v>1185406</v>
      </c>
      <c r="F13" s="14" t="s">
        <v>3</v>
      </c>
      <c r="G13" s="1"/>
    </row>
    <row r="14" spans="1:7" x14ac:dyDescent="0.25">
      <c r="A14" s="1"/>
      <c r="B14" s="24" t="s">
        <v>287</v>
      </c>
      <c r="C14" s="21">
        <v>69065</v>
      </c>
      <c r="D14" s="14" t="s">
        <v>3</v>
      </c>
      <c r="E14" s="9">
        <v>577579</v>
      </c>
      <c r="F14" s="14" t="s">
        <v>3</v>
      </c>
      <c r="G14" s="1"/>
    </row>
    <row r="15" spans="1:7" x14ac:dyDescent="0.25">
      <c r="A15" s="1"/>
      <c r="B15" s="24" t="s">
        <v>288</v>
      </c>
      <c r="C15" s="21">
        <v>248343</v>
      </c>
      <c r="D15" s="14" t="s">
        <v>3</v>
      </c>
      <c r="E15" s="9">
        <v>1590593</v>
      </c>
      <c r="F15" s="14" t="s">
        <v>3</v>
      </c>
      <c r="G15" s="1"/>
    </row>
    <row r="16" spans="1:7" x14ac:dyDescent="0.25">
      <c r="A16" s="1"/>
      <c r="B16" s="24" t="s">
        <v>289</v>
      </c>
      <c r="C16" s="21">
        <v>173411</v>
      </c>
      <c r="D16" s="14" t="s">
        <v>3</v>
      </c>
      <c r="E16" s="9">
        <v>450761</v>
      </c>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729977</v>
      </c>
      <c r="D19" s="13" t="s">
        <v>3</v>
      </c>
      <c r="E19" s="12">
        <f>SUM(E10:E18)</f>
        <v>4606704</v>
      </c>
      <c r="F19" s="13" t="s">
        <v>3</v>
      </c>
      <c r="G19" s="1"/>
    </row>
    <row r="20" spans="1:7" x14ac:dyDescent="0.25">
      <c r="A20" s="1"/>
      <c r="B20" s="33" t="s">
        <v>233</v>
      </c>
      <c r="C20" s="12">
        <f>C19*(1+'Fane 15. Nøgletal'!C16)</f>
        <v>788959.14159999997</v>
      </c>
      <c r="D20" s="13" t="s">
        <v>3</v>
      </c>
      <c r="E20" s="12">
        <f>E19*(1+'Fane 15. Nøgletal'!C16)</f>
        <v>4978925.6831999999</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F2D3wqk2dIyGB5uYc6RBVSiXevZh51gNLHxKOMd0/xTtnEcDoQq3CTVU5K1IR+wKM9KEsseTPyZLgOGpstCzw==" saltValue="4iOgMyS7rNDa+2XUC07dA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260</v>
      </c>
      <c r="C8" s="118"/>
      <c r="D8" s="118"/>
      <c r="E8" s="118"/>
      <c r="F8" s="119"/>
      <c r="G8" s="1"/>
    </row>
    <row r="9" spans="1:7" x14ac:dyDescent="0.25">
      <c r="A9" s="1"/>
      <c r="B9" s="86" t="s">
        <v>17</v>
      </c>
      <c r="C9" s="86" t="s">
        <v>11</v>
      </c>
      <c r="D9" s="87"/>
      <c r="E9" s="86" t="s">
        <v>28</v>
      </c>
      <c r="F9" s="32"/>
      <c r="G9" s="1"/>
    </row>
    <row r="10" spans="1:7" x14ac:dyDescent="0.25">
      <c r="A10" s="1"/>
      <c r="B10" s="24" t="s">
        <v>294</v>
      </c>
      <c r="C10" s="21">
        <v>973188.64</v>
      </c>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973188.64</v>
      </c>
      <c r="D13" s="13" t="s">
        <v>3</v>
      </c>
      <c r="E13" s="12">
        <f>SUM(E10:E12)</f>
        <v>0</v>
      </c>
      <c r="F13" s="13" t="s">
        <v>3</v>
      </c>
      <c r="G13" s="1"/>
    </row>
    <row r="14" spans="1:7" x14ac:dyDescent="0.25">
      <c r="A14" s="1"/>
      <c r="B14" s="33" t="s">
        <v>235</v>
      </c>
      <c r="C14" s="12">
        <f>C13*(1+'Fane 15. Nøgletal'!C16)^2</f>
        <v>1136809.5225066496</v>
      </c>
      <c r="D14" s="13" t="s">
        <v>3</v>
      </c>
      <c r="E14" s="12">
        <f>E13*(1+'Fane 15. Nøgletal'!C16)^2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zC26libN4h/V4nC3eE8wYSgcsY4Mc8I96ktoHB5vEkFZWFpMRNRLVYVUS0uLcb/RzUV1uCalqx589qPnZj7NgA==" saltValue="lDXG9KawmUOLboUzARxEqA=="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7" t="s">
        <v>110</v>
      </c>
      <c r="C9" s="118"/>
      <c r="D9" s="118"/>
      <c r="E9" s="118"/>
      <c r="F9" s="119"/>
      <c r="G9" s="1"/>
    </row>
    <row r="10" spans="1:7" x14ac:dyDescent="0.25">
      <c r="A10" s="1"/>
      <c r="B10" s="141" t="s">
        <v>236</v>
      </c>
      <c r="C10" s="142"/>
      <c r="D10" s="143"/>
      <c r="E10" s="9">
        <v>0</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0</v>
      </c>
      <c r="F12" s="14" t="s">
        <v>3</v>
      </c>
      <c r="G12" s="1"/>
    </row>
    <row r="13" spans="1:7" x14ac:dyDescent="0.25">
      <c r="A13" s="1"/>
      <c r="B13" s="117" t="s">
        <v>111</v>
      </c>
      <c r="C13" s="118"/>
      <c r="D13" s="119"/>
      <c r="E13" s="12">
        <f>SUM(E10:E12)*(1+'Fane 15. Nøgletal'!C16)^2</f>
        <v>0</v>
      </c>
      <c r="F13" s="13" t="s">
        <v>3</v>
      </c>
      <c r="G13" s="1"/>
    </row>
    <row r="14" spans="1:7" x14ac:dyDescent="0.25">
      <c r="A14" s="1"/>
      <c r="B14" s="1"/>
      <c r="C14" s="1"/>
      <c r="D14" s="1"/>
      <c r="E14" s="1"/>
      <c r="F14" s="1"/>
      <c r="G14" s="1"/>
    </row>
    <row r="15" spans="1:7" ht="15" customHeight="1" x14ac:dyDescent="0.25">
      <c r="A15" s="1"/>
      <c r="B15" s="117" t="s">
        <v>124</v>
      </c>
      <c r="C15" s="118"/>
      <c r="D15" s="118"/>
      <c r="E15" s="118"/>
      <c r="F15" s="119"/>
      <c r="G15" s="1"/>
    </row>
    <row r="16" spans="1:7" x14ac:dyDescent="0.25">
      <c r="A16" s="1"/>
      <c r="B16" s="141" t="s">
        <v>236</v>
      </c>
      <c r="C16" s="142"/>
      <c r="D16" s="143"/>
      <c r="E16" s="9">
        <v>0</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0</v>
      </c>
      <c r="F18" s="14" t="s">
        <v>3</v>
      </c>
      <c r="G18" s="1"/>
    </row>
    <row r="19" spans="1:7" x14ac:dyDescent="0.25">
      <c r="A19" s="1"/>
      <c r="B19" s="117" t="s">
        <v>125</v>
      </c>
      <c r="C19" s="118"/>
      <c r="D19" s="119"/>
      <c r="E19" s="12">
        <f>SUM(E16:E18)*(1+'Fane 15. Nøgletal'!C16)^3</f>
        <v>0</v>
      </c>
      <c r="F19" s="13" t="s">
        <v>3</v>
      </c>
      <c r="G19" s="1"/>
    </row>
    <row r="20" spans="1:7" x14ac:dyDescent="0.25">
      <c r="A20" s="1"/>
      <c r="B20" s="1"/>
      <c r="C20" s="1"/>
      <c r="D20" s="1"/>
      <c r="E20" s="1"/>
      <c r="F20" s="1"/>
      <c r="G20" s="1"/>
    </row>
    <row r="21" spans="1:7" ht="15" customHeight="1" x14ac:dyDescent="0.25">
      <c r="A21" s="1"/>
      <c r="B21" s="117" t="s">
        <v>145</v>
      </c>
      <c r="C21" s="118"/>
      <c r="D21" s="118"/>
      <c r="E21" s="118"/>
      <c r="F21" s="119"/>
      <c r="G21" s="1"/>
    </row>
    <row r="22" spans="1:7" x14ac:dyDescent="0.25">
      <c r="A22" s="1"/>
      <c r="B22" s="141" t="s">
        <v>236</v>
      </c>
      <c r="C22" s="142"/>
      <c r="D22" s="143"/>
      <c r="E22" s="9">
        <v>0</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0</v>
      </c>
      <c r="F24" s="14" t="s">
        <v>3</v>
      </c>
      <c r="G24" s="1"/>
    </row>
    <row r="25" spans="1:7" x14ac:dyDescent="0.25">
      <c r="A25" s="1"/>
      <c r="B25" s="117" t="s">
        <v>146</v>
      </c>
      <c r="C25" s="118"/>
      <c r="D25" s="119"/>
      <c r="E25" s="12">
        <f>SUM(E22:E24)*(1+'Fane 15. Nøgletal'!C16)^4</f>
        <v>0</v>
      </c>
      <c r="F25" s="13" t="s">
        <v>3</v>
      </c>
      <c r="G25" s="1"/>
    </row>
    <row r="26" spans="1:7" x14ac:dyDescent="0.25">
      <c r="A26" s="1"/>
      <c r="B26" s="1"/>
      <c r="C26" s="1"/>
      <c r="D26" s="1"/>
      <c r="E26" s="1"/>
      <c r="F26" s="1"/>
      <c r="G26" s="1"/>
    </row>
    <row r="27" spans="1:7" ht="15" customHeight="1" x14ac:dyDescent="0.25">
      <c r="A27" s="1"/>
      <c r="B27" s="117" t="s">
        <v>237</v>
      </c>
      <c r="C27" s="118"/>
      <c r="D27" s="118"/>
      <c r="E27" s="118"/>
      <c r="F27" s="119"/>
      <c r="G27" s="1"/>
    </row>
    <row r="28" spans="1:7" ht="14.25" customHeight="1" x14ac:dyDescent="0.25">
      <c r="A28" s="1"/>
      <c r="B28" s="141" t="s">
        <v>236</v>
      </c>
      <c r="C28" s="142"/>
      <c r="D28" s="143"/>
      <c r="E28" s="9">
        <v>0</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0</v>
      </c>
      <c r="F30" s="14" t="s">
        <v>3</v>
      </c>
      <c r="G30" s="1"/>
    </row>
    <row r="31" spans="1:7" x14ac:dyDescent="0.25">
      <c r="A31" s="1"/>
      <c r="B31" s="117" t="s">
        <v>238</v>
      </c>
      <c r="C31" s="118"/>
      <c r="D31" s="119"/>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CVQBOmdEUbKT4ja4LjH8NbdYUA0lpigD7muCZZgG0Lrk+e2+czJKoljOxBXdkDDb/9UuG5LbuyqKmgv/i+6aKw==" saltValue="crHiA+s8g0U1MfYcwG5RwQ=="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jLjTGASJpdZfj2qKKnpH4boHBXzWuOw/QlPMg/ea+HElViC9+sDaLEigG+fgE8AefLWYF+V/5KSYghUgoHb+1Q==" saltValue="+U1kPVxk/fGxgeg1BmVHI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240</v>
      </c>
      <c r="C9" s="118"/>
      <c r="D9" s="118"/>
      <c r="E9" s="118"/>
      <c r="F9" s="119"/>
      <c r="G9" s="1"/>
    </row>
    <row r="10" spans="1:7" ht="26.25" customHeight="1" x14ac:dyDescent="0.25">
      <c r="A10" s="1"/>
      <c r="B10" s="31" t="s">
        <v>18</v>
      </c>
      <c r="C10" s="144" t="s">
        <v>11</v>
      </c>
      <c r="D10" s="146"/>
      <c r="E10" s="144" t="s">
        <v>28</v>
      </c>
      <c r="F10" s="146"/>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ttP/M1R09/PVYoZsRafaKTuLUsbJCAIvGNzSxpIiWWalyiDFfXeNoY5kdjPN07RNIhQKF4AjkshuMYV1Kfzug==" saltValue="IORg2jJzbJdKPu7uUewbI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153222287.79208061</v>
      </c>
      <c r="D9" s="8" t="s">
        <v>3</v>
      </c>
      <c r="E9" s="1"/>
    </row>
    <row r="10" spans="1:5" ht="17.25" customHeight="1" x14ac:dyDescent="0.25">
      <c r="A10" s="1"/>
      <c r="B10" s="88" t="s">
        <v>36</v>
      </c>
      <c r="C10" s="7">
        <f>'Fane 11.1. Varige tillæg'!C20</f>
        <v>788959.14159999997</v>
      </c>
      <c r="D10" s="8" t="s">
        <v>3</v>
      </c>
      <c r="E10" s="1"/>
    </row>
    <row r="11" spans="1:5" ht="17.25" customHeight="1" x14ac:dyDescent="0.25">
      <c r="A11" s="1"/>
      <c r="B11" s="88" t="s">
        <v>37</v>
      </c>
      <c r="C11" s="9">
        <f>'Fane 11.1. Varige tillæg'!E20</f>
        <v>4978925.6831999999</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12846405.947443953</v>
      </c>
      <c r="D16" s="8" t="s">
        <v>3</v>
      </c>
      <c r="E16" s="1"/>
    </row>
    <row r="17" spans="1:5" ht="17.25" customHeight="1" x14ac:dyDescent="0.25">
      <c r="A17" s="1"/>
      <c r="B17" s="88" t="s">
        <v>10</v>
      </c>
      <c r="C17" s="41">
        <f>-SUM(C9,C10:C16)*'Fane 5. Individuelt eff. krav'!G9</f>
        <v>0</v>
      </c>
      <c r="D17" s="8" t="s">
        <v>3</v>
      </c>
      <c r="E17" s="1"/>
    </row>
    <row r="18" spans="1:5" ht="17.25" customHeight="1" x14ac:dyDescent="0.25">
      <c r="A18" s="1"/>
      <c r="B18" s="88" t="s">
        <v>23</v>
      </c>
      <c r="C18" s="41">
        <f>-'Fane 4.1. Gen. krav - drift'!G54</f>
        <v>-962245.42761882825</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170874333.13670576</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3919243.3021100797</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8" t="s">
        <v>158</v>
      </c>
      <c r="C26" s="41">
        <f>'Fane 11.2. Engangstillæg'!C14</f>
        <v>1136809.5225066496</v>
      </c>
      <c r="D26" s="8" t="s">
        <v>3</v>
      </c>
      <c r="E26" s="1"/>
    </row>
    <row r="27" spans="1:5" ht="15" customHeight="1" x14ac:dyDescent="0.25">
      <c r="A27" s="1"/>
      <c r="B27" s="88" t="s">
        <v>70</v>
      </c>
      <c r="C27" s="41">
        <f>'Fane 11.2. Engangstillæg'!E14</f>
        <v>0</v>
      </c>
      <c r="D27" s="8" t="s">
        <v>3</v>
      </c>
      <c r="E27" s="1"/>
    </row>
    <row r="28" spans="1:5" ht="15" customHeight="1" x14ac:dyDescent="0.25">
      <c r="A28" s="1"/>
      <c r="B28" s="88" t="s">
        <v>161</v>
      </c>
      <c r="C28" s="41">
        <f>-C26*('Fane 15. Nøgletal'!C33+'Fane 5. Individuelt eff. krav'!G9)</f>
        <v>-22736.190450132992</v>
      </c>
      <c r="D28" s="8" t="s">
        <v>3</v>
      </c>
      <c r="E28" s="1"/>
    </row>
    <row r="29" spans="1:5" ht="15" customHeight="1" x14ac:dyDescent="0.25">
      <c r="A29" s="1"/>
      <c r="B29" s="88" t="s">
        <v>162</v>
      </c>
      <c r="C29" s="41">
        <f>-C27*('Fane 15. Nøgletal'!C28+'Fane 5. Individuelt eff. krav'!G9)</f>
        <v>0</v>
      </c>
      <c r="D29" s="8" t="s">
        <v>3</v>
      </c>
      <c r="E29" s="1"/>
    </row>
    <row r="30" spans="1:5" ht="15" customHeight="1" x14ac:dyDescent="0.25">
      <c r="A30" s="1"/>
      <c r="B30" s="70" t="s">
        <v>75</v>
      </c>
      <c r="C30" s="10">
        <f>SUM(C26:C29)</f>
        <v>1114073.3320565165</v>
      </c>
      <c r="D30" s="11" t="s">
        <v>3</v>
      </c>
      <c r="E30" s="1"/>
    </row>
    <row r="31" spans="1:5" x14ac:dyDescent="0.25">
      <c r="A31" s="1"/>
      <c r="B31" s="33" t="s">
        <v>116</v>
      </c>
      <c r="C31" s="28"/>
      <c r="D31" s="19"/>
      <c r="E31" s="1"/>
    </row>
    <row r="32" spans="1:5" x14ac:dyDescent="0.25">
      <c r="A32" s="1"/>
      <c r="B32" s="31" t="s">
        <v>138</v>
      </c>
      <c r="C32" s="10">
        <f>'Fane 7. Kontrol af ØR2022'!E31</f>
        <v>-2277517</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0" t="s">
        <v>295</v>
      </c>
      <c r="C37" s="28"/>
      <c r="D37" s="19"/>
      <c r="E37" s="1"/>
    </row>
    <row r="38" spans="1:5" x14ac:dyDescent="0.25">
      <c r="A38" s="1"/>
      <c r="B38" s="70" t="s">
        <v>296</v>
      </c>
      <c r="C38" s="10">
        <v>5190764.2519822493</v>
      </c>
      <c r="D38" s="11" t="s">
        <v>3</v>
      </c>
      <c r="E38" s="1"/>
    </row>
    <row r="39" spans="1:5" x14ac:dyDescent="0.25">
      <c r="A39" s="1"/>
      <c r="B39" s="33" t="s">
        <v>108</v>
      </c>
      <c r="C39" s="49">
        <f>SUM(C34,C32,C24,C30,C22,C20,C36,C38)</f>
        <v>178820897.0228546</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6xD7KeOs2U2mW627sMVwRx/2dHz2uBdMYlm/wZRPX/XZRSrT6fWKHGpXpA0tCAdq4RIxA6quljN3jdZDlli3kQ==" saltValue="h6WGGVeWAWJHuuv89j+SW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iKDH13HEEL9GtjmF8tqDpxnS8g7LPYInChUTfxef/egec+cgD3j/GFrpz2XXVCPHnhGdmypt+pwNRKFhJWSzJA==" saltValue="Yo2FEnZsVbnwyWCaDT6db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170874333.13670576</v>
      </c>
      <c r="D9" s="8" t="s">
        <v>3</v>
      </c>
      <c r="E9" s="1"/>
    </row>
    <row r="10" spans="1:5" ht="15" customHeight="1" x14ac:dyDescent="0.25">
      <c r="A10" s="1"/>
      <c r="B10" s="26" t="s">
        <v>19</v>
      </c>
      <c r="C10" s="7">
        <f>SUM(C9:C9)*'Fane 15. Nøgletal'!C16</f>
        <v>13806646.117445825</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-1019194.9610070209</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183661784.29314455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4235918.1609205743</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-2277517</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185620185.45406511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C6kxIxFYlFGp3BxIdjKWB2gIZmZRTash3kVAi0ip5iO/e64Hc1LjiA4NqvyYTqDLwlhvXZvIU3onLc2wEoJEog==" saltValue="i6HMg1PtrQcTYfDPbOWGt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253</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183661784.29314455</v>
      </c>
      <c r="D9" s="8" t="s">
        <v>3</v>
      </c>
      <c r="E9" s="1"/>
    </row>
    <row r="10" spans="1:5" ht="15" customHeight="1" x14ac:dyDescent="0.25">
      <c r="A10" s="1"/>
      <c r="B10" s="26" t="s">
        <v>19</v>
      </c>
      <c r="C10" s="7">
        <f>SUM(C9:C9)*'Fane 15. Nøgletal'!C16</f>
        <v>14839872.170886079</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-1079514.9955792604</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197422141.46845135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4578180.3483229559</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202000321.81677431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vIFEvRl++qBSDCEIt7PegBv3Jk92prWyidcy8pencWrHLUo0lg2r444gr7YD1KgDWaykAyrllEZ3Kq4l9YobQ==" saltValue="Pr9+pMvCioZCBjyPpd1oo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253</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197422141.46845135</v>
      </c>
      <c r="D9" s="8" t="s">
        <v>3</v>
      </c>
      <c r="E9" s="1"/>
      <c r="F9" s="1"/>
    </row>
    <row r="10" spans="1:6" ht="15" customHeight="1" x14ac:dyDescent="0.25">
      <c r="A10" s="1"/>
      <c r="B10" s="26" t="s">
        <v>19</v>
      </c>
      <c r="C10" s="7">
        <f>SUM(C9:C9)*'Fane 15. Nøgletal'!C16</f>
        <v>15951709.030650869</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-1143405.0110776233</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212230445.48802462</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4948097.3204674507</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217178542.80849206</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DrLuqfqcKZzmonfaPOk4V7p9HeMqZ8bQge1uiMmXBV0m4rDP23iJgPkLYMmc404UbAysVmFx04e890ORd93wpA==" saltValue="JdTQq0GbW6iDYYxC85DdA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6"/>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154954828.99055615</v>
      </c>
      <c r="D9" s="8" t="s">
        <v>3</v>
      </c>
      <c r="E9" s="1"/>
    </row>
    <row r="10" spans="1:5" x14ac:dyDescent="0.25">
      <c r="A10" s="1"/>
      <c r="B10" s="88" t="s">
        <v>36</v>
      </c>
      <c r="C10" s="7">
        <v>300183.15840000001</v>
      </c>
      <c r="D10" s="8" t="s">
        <v>3</v>
      </c>
      <c r="E10" s="1"/>
    </row>
    <row r="11" spans="1:5" x14ac:dyDescent="0.25">
      <c r="A11" s="1"/>
      <c r="B11" s="88" t="s">
        <v>37</v>
      </c>
      <c r="C11" s="9">
        <v>1968015.5085600002</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592098.80821261136</v>
      </c>
      <c r="D16" s="8" t="s">
        <v>3</v>
      </c>
      <c r="E16" s="1"/>
    </row>
    <row r="17" spans="1:5" x14ac:dyDescent="0.25">
      <c r="A17" s="1"/>
      <c r="B17" s="88" t="s">
        <v>10</v>
      </c>
      <c r="C17" s="41">
        <v>-1984255.8406967511</v>
      </c>
      <c r="D17" s="8" t="s">
        <v>3</v>
      </c>
      <c r="E17" s="1"/>
    </row>
    <row r="18" spans="1:5" x14ac:dyDescent="0.25">
      <c r="A18" s="1"/>
      <c r="B18" s="88" t="s">
        <v>23</v>
      </c>
      <c r="C18" s="41">
        <v>-892376.85502613592</v>
      </c>
      <c r="D18" s="8" t="s">
        <v>3</v>
      </c>
      <c r="E18" s="1"/>
    </row>
    <row r="19" spans="1:5" x14ac:dyDescent="0.25">
      <c r="A19" s="1"/>
      <c r="B19" s="88" t="s">
        <v>24</v>
      </c>
      <c r="C19" s="41">
        <v>-1716205.9779252606</v>
      </c>
      <c r="D19" s="8" t="s">
        <v>3</v>
      </c>
      <c r="E19" s="47"/>
    </row>
    <row r="20" spans="1:5" x14ac:dyDescent="0.25">
      <c r="A20" s="1"/>
      <c r="B20" s="82" t="s">
        <v>21</v>
      </c>
      <c r="C20" s="10">
        <v>153222287.79208061</v>
      </c>
      <c r="D20" s="11" t="s">
        <v>3</v>
      </c>
      <c r="E20" s="1"/>
    </row>
    <row r="21" spans="1:5" x14ac:dyDescent="0.25">
      <c r="A21" s="1"/>
      <c r="B21" s="33" t="s">
        <v>12</v>
      </c>
      <c r="C21" s="28"/>
      <c r="D21" s="19"/>
      <c r="E21" s="1"/>
    </row>
    <row r="22" spans="1:5" x14ac:dyDescent="0.25">
      <c r="A22" s="1"/>
      <c r="B22" s="31" t="s">
        <v>12</v>
      </c>
      <c r="C22" s="10">
        <v>3770342.6565340804</v>
      </c>
      <c r="D22" s="11" t="s">
        <v>3</v>
      </c>
      <c r="E22" s="1"/>
    </row>
    <row r="23" spans="1:5" x14ac:dyDescent="0.25">
      <c r="A23" s="1"/>
      <c r="B23" s="33" t="s">
        <v>74</v>
      </c>
      <c r="C23" s="28"/>
      <c r="D23" s="19"/>
      <c r="E23" s="1"/>
    </row>
    <row r="24" spans="1:5" x14ac:dyDescent="0.25">
      <c r="A24" s="1"/>
      <c r="B24" s="82" t="s">
        <v>74</v>
      </c>
      <c r="C24" s="10">
        <v>0</v>
      </c>
      <c r="D24" s="11" t="s">
        <v>3</v>
      </c>
      <c r="E24" s="1"/>
    </row>
    <row r="25" spans="1:5" x14ac:dyDescent="0.25">
      <c r="A25" s="1"/>
      <c r="B25" s="44" t="s">
        <v>73</v>
      </c>
      <c r="C25" s="42"/>
      <c r="D25" s="43"/>
      <c r="E25" s="1"/>
    </row>
    <row r="26" spans="1:5" x14ac:dyDescent="0.25">
      <c r="A26" s="1"/>
      <c r="B26" s="88" t="s">
        <v>158</v>
      </c>
      <c r="C26" s="69">
        <v>1150818.60791952</v>
      </c>
      <c r="D26" s="8" t="s">
        <v>3</v>
      </c>
      <c r="E26" s="1"/>
    </row>
    <row r="27" spans="1:5" x14ac:dyDescent="0.25">
      <c r="A27" s="1"/>
      <c r="B27" s="88" t="s">
        <v>70</v>
      </c>
      <c r="C27" s="69">
        <v>0</v>
      </c>
      <c r="D27" s="8" t="s">
        <v>3</v>
      </c>
      <c r="E27" s="1"/>
    </row>
    <row r="28" spans="1:5" x14ac:dyDescent="0.25">
      <c r="A28" s="1"/>
      <c r="B28" s="88" t="s">
        <v>161</v>
      </c>
      <c r="C28" s="69">
        <v>-37485.951820912182</v>
      </c>
      <c r="D28" s="8" t="s">
        <v>3</v>
      </c>
      <c r="E28" s="1"/>
    </row>
    <row r="29" spans="1:5" x14ac:dyDescent="0.25">
      <c r="A29" s="1"/>
      <c r="B29" s="88" t="s">
        <v>162</v>
      </c>
      <c r="C29" s="69">
        <v>0</v>
      </c>
      <c r="D29" s="8" t="s">
        <v>3</v>
      </c>
      <c r="E29" s="1"/>
    </row>
    <row r="30" spans="1:5" x14ac:dyDescent="0.25">
      <c r="A30" s="1"/>
      <c r="B30" s="70" t="s">
        <v>75</v>
      </c>
      <c r="C30" s="10">
        <v>1113332.6560986079</v>
      </c>
      <c r="D30" s="11" t="s">
        <v>3</v>
      </c>
      <c r="E30" s="1"/>
    </row>
    <row r="31" spans="1:5" x14ac:dyDescent="0.25">
      <c r="A31" s="1"/>
      <c r="B31" s="33" t="s">
        <v>116</v>
      </c>
      <c r="C31" s="28"/>
      <c r="D31" s="19"/>
      <c r="E31" s="1"/>
    </row>
    <row r="32" spans="1:5" x14ac:dyDescent="0.25">
      <c r="A32" s="1"/>
      <c r="B32" s="31" t="s">
        <v>138</v>
      </c>
      <c r="C32" s="10">
        <v>-3023587</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155082376.10471329</v>
      </c>
      <c r="D37" s="30" t="s">
        <v>3</v>
      </c>
      <c r="E37" s="1"/>
    </row>
    <row r="38" spans="1:5" ht="30" customHeight="1" x14ac:dyDescent="0.25">
      <c r="A38" s="1"/>
      <c r="B38" s="112" t="s">
        <v>268</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sheetData>
  <sheetProtection algorithmName="SHA-512" hashValue="N0uXrqdjER71PES8I9Zf7QhZ7NomzE1k9C0mPfbORZnv7/XQ7dCXkTsoKQZWglUmJ+S+bfEYgKiMjSbYDhOT5g==" saltValue="1qvu3S9EHDJjfjhfDJcdkw=="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7" t="s">
        <v>46</v>
      </c>
      <c r="C4" s="118"/>
      <c r="D4" s="118"/>
      <c r="E4" s="118"/>
      <c r="F4" s="118"/>
      <c r="G4" s="118"/>
      <c r="H4" s="119"/>
      <c r="I4" s="1"/>
    </row>
    <row r="5" spans="1:9" x14ac:dyDescent="0.25">
      <c r="A5" s="1"/>
      <c r="B5" s="120" t="s">
        <v>38</v>
      </c>
      <c r="C5" s="121"/>
      <c r="D5" s="121"/>
      <c r="E5" s="121"/>
      <c r="F5" s="122"/>
      <c r="G5" s="63">
        <v>45816382.663737297</v>
      </c>
      <c r="H5" s="14" t="s">
        <v>3</v>
      </c>
      <c r="I5" s="1"/>
    </row>
    <row r="6" spans="1:9" x14ac:dyDescent="0.25">
      <c r="A6" s="1"/>
      <c r="B6" s="114" t="s">
        <v>102</v>
      </c>
      <c r="C6" s="115"/>
      <c r="D6" s="115"/>
      <c r="E6" s="115"/>
      <c r="F6" s="116"/>
      <c r="G6" s="66">
        <v>0</v>
      </c>
      <c r="H6" s="14" t="s">
        <v>3</v>
      </c>
      <c r="I6" s="1"/>
    </row>
    <row r="7" spans="1:9" x14ac:dyDescent="0.25">
      <c r="A7" s="1"/>
      <c r="B7" s="120" t="s">
        <v>39</v>
      </c>
      <c r="C7" s="121"/>
      <c r="D7" s="121"/>
      <c r="E7" s="121"/>
      <c r="F7" s="122"/>
      <c r="G7" s="23">
        <f>SUM(G5:G6)*'Fane 15. Nøgletal'!C33</f>
        <v>916327.65327474591</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7" t="s">
        <v>47</v>
      </c>
      <c r="C10" s="118"/>
      <c r="D10" s="118"/>
      <c r="E10" s="118"/>
      <c r="F10" s="118"/>
      <c r="G10" s="118"/>
      <c r="H10" s="119"/>
      <c r="I10" s="1"/>
    </row>
    <row r="11" spans="1:9" x14ac:dyDescent="0.25">
      <c r="A11" s="1"/>
      <c r="B11" s="120" t="s">
        <v>40</v>
      </c>
      <c r="C11" s="121"/>
      <c r="D11" s="121"/>
      <c r="E11" s="121"/>
      <c r="F11" s="122"/>
      <c r="G11" s="23">
        <f>(G5-G7)*(1+'Fane 15. Nøgletal'!C10)</f>
        <v>45685805.973145649</v>
      </c>
      <c r="H11" s="14" t="s">
        <v>3</v>
      </c>
      <c r="I11" s="1"/>
    </row>
    <row r="12" spans="1:9" ht="15" customHeight="1" x14ac:dyDescent="0.25">
      <c r="A12" s="1"/>
      <c r="B12" s="120" t="s">
        <v>103</v>
      </c>
      <c r="C12" s="121"/>
      <c r="D12" s="121"/>
      <c r="E12" s="121"/>
      <c r="F12" s="122"/>
      <c r="G12" s="66">
        <v>0</v>
      </c>
      <c r="H12" s="14" t="s">
        <v>3</v>
      </c>
      <c r="I12" s="1"/>
    </row>
    <row r="13" spans="1:9" x14ac:dyDescent="0.25">
      <c r="A13" s="1"/>
      <c r="B13" s="114" t="s">
        <v>100</v>
      </c>
      <c r="C13" s="115"/>
      <c r="D13" s="115"/>
      <c r="E13" s="115"/>
      <c r="F13" s="116"/>
      <c r="G13" s="66">
        <v>0</v>
      </c>
      <c r="H13" s="14" t="s">
        <v>3</v>
      </c>
      <c r="I13" s="1"/>
    </row>
    <row r="14" spans="1:9" x14ac:dyDescent="0.25">
      <c r="A14" s="1"/>
      <c r="B14" s="123" t="s">
        <v>244</v>
      </c>
      <c r="C14" s="124"/>
      <c r="D14" s="124"/>
      <c r="E14" s="124"/>
      <c r="F14" s="125"/>
      <c r="G14" s="66">
        <v>0</v>
      </c>
      <c r="H14" s="14" t="s">
        <v>3</v>
      </c>
      <c r="I14" s="1"/>
    </row>
    <row r="15" spans="1:9" x14ac:dyDescent="0.25">
      <c r="A15" s="1"/>
      <c r="B15" s="120" t="s">
        <v>41</v>
      </c>
      <c r="C15" s="121"/>
      <c r="D15" s="121"/>
      <c r="E15" s="121"/>
      <c r="F15" s="122"/>
      <c r="G15" s="23">
        <f>SUM(G11:G14)*'Fane 15. Nøgletal'!C33</f>
        <v>913716.11946291302</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7" t="s">
        <v>48</v>
      </c>
      <c r="C18" s="118"/>
      <c r="D18" s="118"/>
      <c r="E18" s="118"/>
      <c r="F18" s="118"/>
      <c r="G18" s="118"/>
      <c r="H18" s="119"/>
      <c r="I18" s="1"/>
    </row>
    <row r="19" spans="1:9" x14ac:dyDescent="0.25">
      <c r="A19" s="1"/>
      <c r="B19" s="120" t="s">
        <v>42</v>
      </c>
      <c r="C19" s="121"/>
      <c r="D19" s="121"/>
      <c r="E19" s="121"/>
      <c r="F19" s="122"/>
      <c r="G19" s="23">
        <f>(SUM(G11:G12,G14)-(G15))*(1+'Fane 15. Nøgletal'!C10)</f>
        <v>45555601.426122189</v>
      </c>
      <c r="H19" s="14" t="s">
        <v>3</v>
      </c>
      <c r="I19" s="1"/>
    </row>
    <row r="20" spans="1:9" x14ac:dyDescent="0.25">
      <c r="A20" s="1"/>
      <c r="B20" s="123" t="s">
        <v>245</v>
      </c>
      <c r="C20" s="124"/>
      <c r="D20" s="124"/>
      <c r="E20" s="124"/>
      <c r="F20" s="125"/>
      <c r="G20" s="66">
        <v>7669400.3692116085</v>
      </c>
      <c r="H20" s="14" t="s">
        <v>3</v>
      </c>
      <c r="I20" s="1"/>
    </row>
    <row r="21" spans="1:9" x14ac:dyDescent="0.25">
      <c r="A21" s="1"/>
      <c r="B21" s="120" t="s">
        <v>43</v>
      </c>
      <c r="C21" s="121"/>
      <c r="D21" s="121"/>
      <c r="E21" s="121"/>
      <c r="F21" s="122"/>
      <c r="G21" s="23">
        <f>SUM(G19:G20)*'Fane 15. Nøgletal'!C33</f>
        <v>1064500.035906676</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7" t="s">
        <v>49</v>
      </c>
      <c r="C24" s="118"/>
      <c r="D24" s="118"/>
      <c r="E24" s="118"/>
      <c r="F24" s="118"/>
      <c r="G24" s="118"/>
      <c r="H24" s="119"/>
      <c r="I24" s="1"/>
    </row>
    <row r="25" spans="1:9" x14ac:dyDescent="0.25">
      <c r="A25" s="1"/>
      <c r="B25" s="120" t="s">
        <v>44</v>
      </c>
      <c r="C25" s="121"/>
      <c r="D25" s="121"/>
      <c r="E25" s="121"/>
      <c r="F25" s="122"/>
      <c r="G25" s="23">
        <f>(G19+G20-G21)*(1+'Fane 15. Nøgletal'!C12)</f>
        <v>53188063.644087836</v>
      </c>
      <c r="H25" s="14" t="s">
        <v>3</v>
      </c>
      <c r="I25" s="1"/>
    </row>
    <row r="26" spans="1:9" x14ac:dyDescent="0.25">
      <c r="A26" s="1"/>
      <c r="B26" s="123" t="s">
        <v>246</v>
      </c>
      <c r="C26" s="124"/>
      <c r="D26" s="124"/>
      <c r="E26" s="124"/>
      <c r="F26" s="125"/>
      <c r="G26" s="66">
        <v>-7480050.148442857</v>
      </c>
      <c r="H26" s="14" t="s">
        <v>3</v>
      </c>
      <c r="I26" s="1"/>
    </row>
    <row r="27" spans="1:9" x14ac:dyDescent="0.25">
      <c r="A27" s="1"/>
      <c r="B27" s="120" t="s">
        <v>45</v>
      </c>
      <c r="C27" s="121"/>
      <c r="D27" s="121"/>
      <c r="E27" s="121"/>
      <c r="F27" s="122"/>
      <c r="G27" s="23">
        <f>(G25+G26)*'Fane 15. Nøgletal'!C33</f>
        <v>914160.26991289959</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7" t="s">
        <v>52</v>
      </c>
      <c r="C30" s="118"/>
      <c r="D30" s="118"/>
      <c r="E30" s="118"/>
      <c r="F30" s="118"/>
      <c r="G30" s="118"/>
      <c r="H30" s="119"/>
      <c r="I30" s="1"/>
    </row>
    <row r="31" spans="1:9" x14ac:dyDescent="0.25">
      <c r="A31" s="1"/>
      <c r="B31" s="120" t="s">
        <v>53</v>
      </c>
      <c r="C31" s="121"/>
      <c r="D31" s="121"/>
      <c r="E31" s="121"/>
      <c r="F31" s="122"/>
      <c r="G31" s="23">
        <f>(G25+G26-G27)*(1+'Fane 15. Nøgletal'!C12)</f>
        <v>45676292.134279005</v>
      </c>
      <c r="H31" s="14" t="s">
        <v>3</v>
      </c>
      <c r="I31" s="1"/>
    </row>
    <row r="32" spans="1:9" x14ac:dyDescent="0.25">
      <c r="A32" s="1"/>
      <c r="B32" s="120" t="s">
        <v>243</v>
      </c>
      <c r="C32" s="121"/>
      <c r="D32" s="121"/>
      <c r="E32" s="121"/>
      <c r="F32" s="122"/>
      <c r="G32" s="63">
        <v>71128.278668159997</v>
      </c>
      <c r="H32" s="14" t="s">
        <v>3</v>
      </c>
      <c r="I32" s="1"/>
    </row>
    <row r="33" spans="1:9" x14ac:dyDescent="0.25">
      <c r="A33" s="1"/>
      <c r="B33" s="120" t="s">
        <v>54</v>
      </c>
      <c r="C33" s="121"/>
      <c r="D33" s="121"/>
      <c r="E33" s="121"/>
      <c r="F33" s="122"/>
      <c r="G33" s="23">
        <f>(G31+G32)*'Fane 15. Nøgletal'!C33</f>
        <v>914948.40825894324</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7" t="s">
        <v>126</v>
      </c>
      <c r="C36" s="118"/>
      <c r="D36" s="118"/>
      <c r="E36" s="118"/>
      <c r="F36" s="118"/>
      <c r="G36" s="118"/>
      <c r="H36" s="119"/>
      <c r="I36" s="1"/>
    </row>
    <row r="37" spans="1:9" x14ac:dyDescent="0.25">
      <c r="A37" s="1"/>
      <c r="B37" s="120" t="s">
        <v>68</v>
      </c>
      <c r="C37" s="121"/>
      <c r="D37" s="121"/>
      <c r="E37" s="121"/>
      <c r="F37" s="122"/>
      <c r="G37" s="23">
        <f>(G31+G32-G33)*(1+'Fane 15. Nøgletal'!C14)</f>
        <v>44980419.162303694</v>
      </c>
      <c r="H37" s="14" t="s">
        <v>3</v>
      </c>
      <c r="I37" s="1"/>
    </row>
    <row r="38" spans="1:9" x14ac:dyDescent="0.25">
      <c r="A38" s="1"/>
      <c r="B38" s="120" t="s">
        <v>242</v>
      </c>
      <c r="C38" s="121"/>
      <c r="D38" s="121"/>
      <c r="E38" s="121"/>
      <c r="F38" s="122"/>
      <c r="G38" s="63">
        <v>83088.682693270006</v>
      </c>
      <c r="H38" s="14" t="s">
        <v>3</v>
      </c>
      <c r="I38" s="1"/>
    </row>
    <row r="39" spans="1:9" x14ac:dyDescent="0.25">
      <c r="A39" s="1"/>
      <c r="B39" s="120" t="s">
        <v>128</v>
      </c>
      <c r="C39" s="121"/>
      <c r="D39" s="121"/>
      <c r="E39" s="121"/>
      <c r="F39" s="122"/>
      <c r="G39" s="23">
        <f>(G37+G38)*'Fane 15. Nøgletal'!C33</f>
        <v>901270.15689993929</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7" t="s">
        <v>127</v>
      </c>
      <c r="C42" s="118"/>
      <c r="D42" s="118"/>
      <c r="E42" s="118"/>
      <c r="F42" s="118"/>
      <c r="G42" s="118"/>
      <c r="H42" s="119"/>
      <c r="I42" s="1"/>
    </row>
    <row r="43" spans="1:9" x14ac:dyDescent="0.25">
      <c r="A43" s="1"/>
      <c r="B43" s="120" t="s">
        <v>155</v>
      </c>
      <c r="C43" s="121"/>
      <c r="D43" s="121"/>
      <c r="E43" s="121"/>
      <c r="F43" s="122"/>
      <c r="G43" s="23">
        <f>(G37+G38-G39)*(1+'Fane 15. Nøgletal'!C14)</f>
        <v>44307973.072467752</v>
      </c>
      <c r="H43" s="14" t="s">
        <v>3</v>
      </c>
      <c r="I43" s="1"/>
    </row>
    <row r="44" spans="1:9" x14ac:dyDescent="0.25">
      <c r="A44" s="1"/>
      <c r="B44" s="126" t="s">
        <v>157</v>
      </c>
      <c r="C44" s="127"/>
      <c r="D44" s="127"/>
      <c r="E44" s="127"/>
      <c r="F44" s="128"/>
      <c r="G44" s="72">
        <v>310869.67883904005</v>
      </c>
      <c r="H44" s="14" t="s">
        <v>3</v>
      </c>
      <c r="I44" s="1"/>
    </row>
    <row r="45" spans="1:9" x14ac:dyDescent="0.25">
      <c r="A45" s="1"/>
      <c r="B45" s="120" t="s">
        <v>129</v>
      </c>
      <c r="C45" s="121"/>
      <c r="D45" s="121"/>
      <c r="E45" s="121"/>
      <c r="F45" s="122"/>
      <c r="G45" s="23">
        <f>SUM(G43:G44)*'Fane 15. Nøgletal'!C33</f>
        <v>892376.85502613592</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7" t="s">
        <v>192</v>
      </c>
      <c r="C51" s="118"/>
      <c r="D51" s="118"/>
      <c r="E51" s="118"/>
      <c r="F51" s="118"/>
      <c r="G51" s="118"/>
      <c r="H51" s="119"/>
      <c r="I51" s="1"/>
    </row>
    <row r="52" spans="1:9" x14ac:dyDescent="0.25">
      <c r="A52" s="1"/>
      <c r="B52" s="120" t="s">
        <v>154</v>
      </c>
      <c r="C52" s="121"/>
      <c r="D52" s="121"/>
      <c r="E52" s="121"/>
      <c r="F52" s="122"/>
      <c r="G52" s="23">
        <f>(G43+G44-G45)*(1+'Fane 15. Nøgletal'!C16)</f>
        <v>47259564.340700135</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852707.04024127999</v>
      </c>
      <c r="H53" s="14" t="s">
        <v>3</v>
      </c>
      <c r="I53" s="1"/>
    </row>
    <row r="54" spans="1:9" x14ac:dyDescent="0.25">
      <c r="A54" s="1"/>
      <c r="B54" s="120" t="s">
        <v>210</v>
      </c>
      <c r="C54" s="121"/>
      <c r="D54" s="121"/>
      <c r="E54" s="121"/>
      <c r="F54" s="122"/>
      <c r="G54" s="23">
        <f>(G52)*'Fane 15. Nøgletal'!C33+(G53)*'Fane 15. Nøgletal'!C33</f>
        <v>962245.42761882825</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7" t="s">
        <v>193</v>
      </c>
      <c r="C57" s="118"/>
      <c r="D57" s="118"/>
      <c r="E57" s="118"/>
      <c r="F57" s="118"/>
      <c r="G57" s="118"/>
      <c r="H57" s="119"/>
      <c r="I57" s="1"/>
    </row>
    <row r="58" spans="1:9" x14ac:dyDescent="0.25">
      <c r="A58" s="1"/>
      <c r="B58" s="78" t="s">
        <v>212</v>
      </c>
      <c r="C58" s="79"/>
      <c r="D58" s="79"/>
      <c r="E58" s="79"/>
      <c r="F58" s="80"/>
      <c r="G58" s="23">
        <f>(G52+G53-G54)*(1+'Fane 15. Nøgletal'!C16)</f>
        <v>50959748.050351046</v>
      </c>
      <c r="H58" s="14" t="s">
        <v>3</v>
      </c>
      <c r="I58" s="1"/>
    </row>
    <row r="59" spans="1:9" x14ac:dyDescent="0.25">
      <c r="A59" s="1"/>
      <c r="B59" s="78" t="s">
        <v>211</v>
      </c>
      <c r="C59" s="79"/>
      <c r="D59" s="79"/>
      <c r="E59" s="79"/>
      <c r="F59" s="80"/>
      <c r="G59" s="23">
        <f>(G58)*'Fane 15. Nøgletal'!C33</f>
        <v>1019194.9610070209</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7" t="s">
        <v>256</v>
      </c>
      <c r="C62" s="118"/>
      <c r="D62" s="118"/>
      <c r="E62" s="118"/>
      <c r="F62" s="118"/>
      <c r="G62" s="118"/>
      <c r="H62" s="119"/>
      <c r="I62" s="1"/>
    </row>
    <row r="63" spans="1:9" x14ac:dyDescent="0.25">
      <c r="A63" s="1"/>
      <c r="B63" s="78" t="s">
        <v>213</v>
      </c>
      <c r="C63" s="79"/>
      <c r="D63" s="79"/>
      <c r="E63" s="79"/>
      <c r="F63" s="80"/>
      <c r="G63" s="23">
        <f>(G58-G59)*(1+'Fane 15. Nøgletal'!C16)</f>
        <v>53975749.778963022</v>
      </c>
      <c r="H63" s="14" t="s">
        <v>3</v>
      </c>
      <c r="I63" s="1"/>
    </row>
    <row r="64" spans="1:9" x14ac:dyDescent="0.25">
      <c r="A64" s="1"/>
      <c r="B64" s="78" t="s">
        <v>214</v>
      </c>
      <c r="C64" s="79"/>
      <c r="D64" s="79"/>
      <c r="E64" s="79"/>
      <c r="F64" s="80"/>
      <c r="G64" s="23">
        <f>(G63)*'Fane 15. Nøgletal'!C33</f>
        <v>1079514.9955792604</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7" t="s">
        <v>257</v>
      </c>
      <c r="C67" s="118"/>
      <c r="D67" s="118"/>
      <c r="E67" s="118"/>
      <c r="F67" s="118"/>
      <c r="G67" s="118"/>
      <c r="H67" s="119"/>
      <c r="I67" s="1"/>
    </row>
    <row r="68" spans="1:9" x14ac:dyDescent="0.25">
      <c r="A68" s="1"/>
      <c r="B68" s="78" t="s">
        <v>213</v>
      </c>
      <c r="C68" s="79"/>
      <c r="D68" s="79"/>
      <c r="E68" s="79"/>
      <c r="F68" s="80"/>
      <c r="G68" s="23">
        <f>(G63-G64)*(1+'Fane 15. Nøgletal'!C16)</f>
        <v>57170250.553881168</v>
      </c>
      <c r="H68" s="14" t="s">
        <v>3</v>
      </c>
      <c r="I68" s="1"/>
    </row>
    <row r="69" spans="1:9" x14ac:dyDescent="0.25">
      <c r="A69" s="1"/>
      <c r="B69" s="78" t="s">
        <v>214</v>
      </c>
      <c r="C69" s="79"/>
      <c r="D69" s="79"/>
      <c r="E69" s="79"/>
      <c r="F69" s="80"/>
      <c r="G69" s="23">
        <f>(G68)*'Fane 15. Nøgletal'!C33</f>
        <v>1143405.0110776233</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NbGuUfpPJaoCS/DHKzkk011I/u32IhqfvP9ZJYUCi4kyuZ9Zm9FfNhGNs5vIC+ZOWzP2Cf9XH4ygYpwYsjyaBA==" saltValue="l7skhQyPnrMqXcxqxs5NLw=="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7" t="s">
        <v>50</v>
      </c>
      <c r="C4" s="118"/>
      <c r="D4" s="118"/>
      <c r="E4" s="118"/>
      <c r="F4" s="118"/>
      <c r="G4" s="118"/>
      <c r="H4" s="119"/>
      <c r="I4" s="1"/>
    </row>
    <row r="5" spans="1:9" x14ac:dyDescent="0.25">
      <c r="A5" s="1"/>
      <c r="B5" s="120" t="s">
        <v>55</v>
      </c>
      <c r="C5" s="121"/>
      <c r="D5" s="121"/>
      <c r="E5" s="121"/>
      <c r="F5" s="122"/>
      <c r="G5" s="63">
        <v>116607776.06762949</v>
      </c>
      <c r="H5" s="14" t="s">
        <v>3</v>
      </c>
      <c r="I5" s="1"/>
    </row>
    <row r="6" spans="1:9" x14ac:dyDescent="0.25">
      <c r="A6" s="1"/>
      <c r="B6" s="120" t="s">
        <v>51</v>
      </c>
      <c r="C6" s="121"/>
      <c r="D6" s="121"/>
      <c r="E6" s="121"/>
      <c r="F6" s="122"/>
      <c r="G6" s="23">
        <f>G5*'Fane 15. Nøgletal'!C21</f>
        <v>1061130.7622154283</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7" t="s">
        <v>56</v>
      </c>
      <c r="C9" s="118"/>
      <c r="D9" s="118"/>
      <c r="E9" s="118"/>
      <c r="F9" s="118"/>
      <c r="G9" s="118"/>
      <c r="H9" s="119"/>
      <c r="I9" s="1"/>
    </row>
    <row r="10" spans="1:9" x14ac:dyDescent="0.25">
      <c r="A10" s="1"/>
      <c r="B10" s="120" t="s">
        <v>57</v>
      </c>
      <c r="C10" s="121"/>
      <c r="D10" s="121"/>
      <c r="E10" s="121"/>
      <c r="F10" s="122"/>
      <c r="G10" s="23">
        <f>(G5-G6)*(1+'Fane 15. Nøgletal'!C10)</f>
        <v>117568711.59825881</v>
      </c>
      <c r="H10" s="14" t="s">
        <v>3</v>
      </c>
      <c r="I10" s="1"/>
    </row>
    <row r="11" spans="1:9" x14ac:dyDescent="0.25">
      <c r="A11" s="1"/>
      <c r="B11" s="120" t="s">
        <v>104</v>
      </c>
      <c r="C11" s="121"/>
      <c r="D11" s="121"/>
      <c r="E11" s="121"/>
      <c r="F11" s="122"/>
      <c r="G11" s="63">
        <v>-165378.52922006062</v>
      </c>
      <c r="H11" s="14" t="s">
        <v>3</v>
      </c>
      <c r="I11" s="1"/>
    </row>
    <row r="12" spans="1:9" x14ac:dyDescent="0.25">
      <c r="A12" s="1"/>
      <c r="B12" s="123" t="s">
        <v>247</v>
      </c>
      <c r="C12" s="124"/>
      <c r="D12" s="124"/>
      <c r="E12" s="124"/>
      <c r="F12" s="125"/>
      <c r="G12" s="66">
        <v>0</v>
      </c>
      <c r="H12" s="14" t="s">
        <v>3</v>
      </c>
      <c r="I12" s="1"/>
    </row>
    <row r="13" spans="1:9" x14ac:dyDescent="0.25">
      <c r="A13" s="1"/>
      <c r="B13" s="120" t="s">
        <v>58</v>
      </c>
      <c r="C13" s="121"/>
      <c r="D13" s="121"/>
      <c r="E13" s="121"/>
      <c r="F13" s="122"/>
      <c r="G13" s="23">
        <f>SUM(G10:G12)*'Fane 15. Nøgletal'!C22</f>
        <v>2078038.9953219858</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7" t="s">
        <v>59</v>
      </c>
      <c r="C16" s="118"/>
      <c r="D16" s="118"/>
      <c r="E16" s="118"/>
      <c r="F16" s="118"/>
      <c r="G16" s="118"/>
      <c r="H16" s="119"/>
      <c r="I16" s="1"/>
    </row>
    <row r="17" spans="1:9" x14ac:dyDescent="0.25">
      <c r="A17" s="1"/>
      <c r="B17" s="120" t="s">
        <v>60</v>
      </c>
      <c r="C17" s="121"/>
      <c r="D17" s="121"/>
      <c r="E17" s="121"/>
      <c r="F17" s="122"/>
      <c r="G17" s="23">
        <f>(SUM(G10:G12)-G13)*(1+'Fane 15. Nøgletal'!C10)</f>
        <v>117343486.72000681</v>
      </c>
      <c r="H17" s="14" t="s">
        <v>3</v>
      </c>
      <c r="I17" s="1"/>
    </row>
    <row r="18" spans="1:9" x14ac:dyDescent="0.25">
      <c r="A18" s="1"/>
      <c r="B18" s="123" t="s">
        <v>248</v>
      </c>
      <c r="C18" s="124"/>
      <c r="D18" s="124"/>
      <c r="E18" s="124"/>
      <c r="F18" s="125"/>
      <c r="G18" s="63">
        <v>1441061.3767572097</v>
      </c>
      <c r="H18" s="14" t="s">
        <v>3</v>
      </c>
      <c r="I18" s="1"/>
    </row>
    <row r="19" spans="1:9" x14ac:dyDescent="0.25">
      <c r="A19" s="1"/>
      <c r="B19" s="120" t="s">
        <v>61</v>
      </c>
      <c r="C19" s="121"/>
      <c r="D19" s="121"/>
      <c r="E19" s="121"/>
      <c r="F19" s="122"/>
      <c r="G19" s="23">
        <f>G17*'Fane 15. Nøgletal'!C22+G18*'Fane 15. Nøgletal'!C23</f>
        <v>2089516.9489219082</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7" t="s">
        <v>62</v>
      </c>
      <c r="C22" s="118"/>
      <c r="D22" s="118"/>
      <c r="E22" s="118"/>
      <c r="F22" s="118"/>
      <c r="G22" s="118"/>
      <c r="H22" s="119"/>
      <c r="I22" s="1"/>
    </row>
    <row r="23" spans="1:9" x14ac:dyDescent="0.25">
      <c r="A23" s="1"/>
      <c r="B23" s="120" t="s">
        <v>63</v>
      </c>
      <c r="C23" s="121"/>
      <c r="D23" s="121"/>
      <c r="E23" s="121"/>
      <c r="F23" s="122"/>
      <c r="G23" s="23">
        <f>(G17+G18-G19)*(1+'Fane 15. Nøgletal'!C12)</f>
        <v>118993923.26145461</v>
      </c>
      <c r="H23" s="14" t="s">
        <v>3</v>
      </c>
      <c r="I23" s="1"/>
    </row>
    <row r="24" spans="1:9" x14ac:dyDescent="0.25">
      <c r="A24" s="1"/>
      <c r="B24" s="123" t="s">
        <v>249</v>
      </c>
      <c r="C24" s="124"/>
      <c r="D24" s="124"/>
      <c r="E24" s="124"/>
      <c r="F24" s="125"/>
      <c r="G24" s="63">
        <v>982441.45464309899</v>
      </c>
      <c r="H24" s="14" t="s">
        <v>3</v>
      </c>
      <c r="I24" s="1"/>
    </row>
    <row r="25" spans="1:9" x14ac:dyDescent="0.25">
      <c r="A25" s="1"/>
      <c r="B25" s="120" t="s">
        <v>64</v>
      </c>
      <c r="C25" s="121"/>
      <c r="D25" s="121"/>
      <c r="E25" s="121"/>
      <c r="F25" s="122"/>
      <c r="G25" s="23">
        <f>(G23+G24)*'Fane 15. Nøgletal'!C24</f>
        <v>3407328.7579371752</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7" t="s">
        <v>65</v>
      </c>
      <c r="C28" s="118"/>
      <c r="D28" s="118"/>
      <c r="E28" s="118"/>
      <c r="F28" s="118"/>
      <c r="G28" s="118"/>
      <c r="H28" s="119"/>
      <c r="I28" s="1"/>
    </row>
    <row r="29" spans="1:9" x14ac:dyDescent="0.25">
      <c r="A29" s="1"/>
      <c r="B29" s="120" t="s">
        <v>66</v>
      </c>
      <c r="C29" s="121"/>
      <c r="D29" s="121"/>
      <c r="E29" s="121"/>
      <c r="F29" s="122"/>
      <c r="G29" s="23">
        <f>(G23+G24-G25)*(1+'Fane 15. Nøgletal'!C12)</f>
        <v>118865445.9665363</v>
      </c>
      <c r="H29" s="14" t="s">
        <v>3</v>
      </c>
      <c r="I29" s="1"/>
    </row>
    <row r="30" spans="1:9" x14ac:dyDescent="0.25">
      <c r="A30" s="1"/>
      <c r="B30" s="120" t="s">
        <v>250</v>
      </c>
      <c r="C30" s="121"/>
      <c r="D30" s="121"/>
      <c r="E30" s="121"/>
      <c r="F30" s="122"/>
      <c r="G30" s="63">
        <v>632371.01047595998</v>
      </c>
      <c r="H30" s="14" t="s">
        <v>3</v>
      </c>
      <c r="I30" s="1"/>
    </row>
    <row r="31" spans="1:9" x14ac:dyDescent="0.25">
      <c r="A31" s="1"/>
      <c r="B31" s="120" t="s">
        <v>67</v>
      </c>
      <c r="C31" s="121"/>
      <c r="D31" s="121"/>
      <c r="E31" s="121"/>
      <c r="F31" s="122"/>
      <c r="G31" s="23">
        <f>G29*'Fane 15. Nøgletal'!C24+G30*'Fane 15. Nøgletal'!C25</f>
        <v>3393168.8682377199</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7" t="s">
        <v>130</v>
      </c>
      <c r="C34" s="118"/>
      <c r="D34" s="118"/>
      <c r="E34" s="118"/>
      <c r="F34" s="118"/>
      <c r="G34" s="118"/>
      <c r="H34" s="119"/>
      <c r="I34" s="1"/>
    </row>
    <row r="35" spans="1:9" x14ac:dyDescent="0.25">
      <c r="A35" s="1"/>
      <c r="B35" s="120" t="s">
        <v>215</v>
      </c>
      <c r="C35" s="121"/>
      <c r="D35" s="121"/>
      <c r="E35" s="121"/>
      <c r="F35" s="122"/>
      <c r="G35" s="23">
        <f>(G29+G30-G31)*(1+'Fane 15. Nøgletal'!C14)</f>
        <v>116487793.4475335</v>
      </c>
      <c r="H35" s="14" t="s">
        <v>3</v>
      </c>
      <c r="I35" s="1"/>
    </row>
    <row r="36" spans="1:9" x14ac:dyDescent="0.25">
      <c r="A36" s="1"/>
      <c r="B36" s="120" t="s">
        <v>251</v>
      </c>
      <c r="C36" s="121"/>
      <c r="D36" s="121"/>
      <c r="E36" s="121"/>
      <c r="F36" s="122"/>
      <c r="G36" s="63">
        <v>826918.76680432016</v>
      </c>
      <c r="H36" s="14" t="s">
        <v>3</v>
      </c>
      <c r="I36" s="1"/>
    </row>
    <row r="37" spans="1:9" x14ac:dyDescent="0.25">
      <c r="A37" s="1"/>
      <c r="B37" s="120" t="s">
        <v>131</v>
      </c>
      <c r="C37" s="121"/>
      <c r="D37" s="121"/>
      <c r="E37" s="121"/>
      <c r="F37" s="122"/>
      <c r="G37" s="23">
        <f>(G35+G36)*'Fane 15. Nøgletal'!C26</f>
        <v>1736257.7407721998</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7" t="s">
        <v>151</v>
      </c>
      <c r="C40" s="118"/>
      <c r="D40" s="118"/>
      <c r="E40" s="118"/>
      <c r="F40" s="118"/>
      <c r="G40" s="118"/>
      <c r="H40" s="119"/>
      <c r="I40" s="1"/>
    </row>
    <row r="41" spans="1:9" x14ac:dyDescent="0.25">
      <c r="A41" s="1"/>
      <c r="B41" s="120" t="s">
        <v>216</v>
      </c>
      <c r="C41" s="121"/>
      <c r="D41" s="121"/>
      <c r="E41" s="121"/>
      <c r="F41" s="122"/>
      <c r="G41" s="23">
        <f>(G35+G36-G37)*(1+'Fane 15. Nøgletal'!C14)</f>
        <v>115959863.3733284</v>
      </c>
      <c r="H41" s="14" t="s">
        <v>3</v>
      </c>
      <c r="I41" s="1"/>
    </row>
    <row r="42" spans="1:9" x14ac:dyDescent="0.25">
      <c r="A42" s="1"/>
      <c r="B42" s="40" t="s">
        <v>156</v>
      </c>
      <c r="C42" s="79"/>
      <c r="D42" s="79"/>
      <c r="E42" s="79"/>
      <c r="F42" s="80"/>
      <c r="G42" s="72">
        <v>2038076.8606647365</v>
      </c>
      <c r="H42" s="14" t="s">
        <v>3</v>
      </c>
      <c r="I42" s="1"/>
    </row>
    <row r="43" spans="1:9" x14ac:dyDescent="0.25">
      <c r="A43" s="1"/>
      <c r="B43" s="120" t="s">
        <v>132</v>
      </c>
      <c r="C43" s="121"/>
      <c r="D43" s="121"/>
      <c r="E43" s="121"/>
      <c r="F43" s="122"/>
      <c r="G43" s="23">
        <f>(G41)*'Fane 15. Nøgletal'!C26+G42*'Fane 15. Nøgletal'!C27</f>
        <v>1716205.9779252606</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7" t="s">
        <v>259</v>
      </c>
      <c r="C52" s="118"/>
      <c r="D52" s="118"/>
      <c r="E52" s="118"/>
      <c r="F52" s="118"/>
      <c r="G52" s="118"/>
      <c r="H52" s="119"/>
      <c r="I52" s="1"/>
    </row>
    <row r="53" spans="1:9" x14ac:dyDescent="0.25">
      <c r="A53" s="1"/>
      <c r="B53" s="120" t="s">
        <v>217</v>
      </c>
      <c r="C53" s="121"/>
      <c r="D53" s="121"/>
      <c r="E53" s="121"/>
      <c r="F53" s="122"/>
      <c r="G53" s="23">
        <f>(G41+G42-G43)*(1+'Fane 15. Nøgletal'!C16)</f>
        <v>125677298.38395818</v>
      </c>
      <c r="H53" s="14" t="s">
        <v>3</v>
      </c>
      <c r="I53" s="1"/>
    </row>
    <row r="54" spans="1:9" x14ac:dyDescent="0.25">
      <c r="A54" s="1"/>
      <c r="B54" s="78" t="s">
        <v>195</v>
      </c>
      <c r="C54" s="79"/>
      <c r="D54" s="79"/>
      <c r="E54" s="79"/>
      <c r="F54" s="80"/>
      <c r="G54" s="23">
        <f>('Fane 2.1. Økonomisk ramme 2024'!C11+'Fane 2.1. Økonomisk ramme 2024'!C13+'Fane 2.1. Økonomisk ramme 2024'!C15)*(1+'Fane 15. Nøgletal'!C16)</f>
        <v>5381222.87840256</v>
      </c>
      <c r="H54" s="14" t="s">
        <v>3</v>
      </c>
      <c r="I54" s="1"/>
    </row>
    <row r="55" spans="1:9" x14ac:dyDescent="0.25">
      <c r="A55" s="1"/>
      <c r="B55" s="120" t="s">
        <v>218</v>
      </c>
      <c r="C55" s="121"/>
      <c r="D55" s="121"/>
      <c r="E55" s="121"/>
      <c r="F55" s="122"/>
      <c r="G55" s="66">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7" t="s">
        <v>258</v>
      </c>
      <c r="C58" s="118"/>
      <c r="D58" s="118"/>
      <c r="E58" s="118"/>
      <c r="F58" s="118"/>
      <c r="G58" s="118"/>
      <c r="H58" s="119"/>
      <c r="I58" s="1"/>
    </row>
    <row r="59" spans="1:9" x14ac:dyDescent="0.25">
      <c r="A59" s="1"/>
      <c r="B59" s="120" t="s">
        <v>219</v>
      </c>
      <c r="C59" s="121"/>
      <c r="D59" s="121"/>
      <c r="E59" s="121"/>
      <c r="F59" s="122"/>
      <c r="G59" s="23">
        <f>(G53+G54-G55)*(1+'Fane 15. Nøgletal'!C16)</f>
        <v>141648049.78035948</v>
      </c>
      <c r="H59" s="14" t="s">
        <v>3</v>
      </c>
      <c r="I59" s="1"/>
    </row>
    <row r="60" spans="1:9" x14ac:dyDescent="0.25">
      <c r="A60" s="1"/>
      <c r="B60" s="120" t="s">
        <v>220</v>
      </c>
      <c r="C60" s="121"/>
      <c r="D60" s="121"/>
      <c r="E60" s="121"/>
      <c r="F60" s="122"/>
      <c r="G60" s="66">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7" t="s">
        <v>141</v>
      </c>
      <c r="C63" s="118"/>
      <c r="D63" s="118"/>
      <c r="E63" s="118"/>
      <c r="F63" s="118"/>
      <c r="G63" s="118"/>
      <c r="H63" s="119"/>
      <c r="I63" s="1"/>
    </row>
    <row r="64" spans="1:9" x14ac:dyDescent="0.25">
      <c r="A64" s="1"/>
      <c r="B64" s="120" t="s">
        <v>221</v>
      </c>
      <c r="C64" s="121"/>
      <c r="D64" s="121"/>
      <c r="E64" s="121"/>
      <c r="F64" s="122"/>
      <c r="G64" s="23">
        <f>(G59-G60)*(1+'Fane 15. Nøgletal'!C16)</f>
        <v>153093212.20261252</v>
      </c>
      <c r="H64" s="14" t="s">
        <v>3</v>
      </c>
      <c r="I64" s="1"/>
    </row>
    <row r="65" spans="1:9" x14ac:dyDescent="0.25">
      <c r="A65" s="1"/>
      <c r="B65" s="120" t="s">
        <v>222</v>
      </c>
      <c r="C65" s="121"/>
      <c r="D65" s="121"/>
      <c r="E65" s="121"/>
      <c r="F65" s="122"/>
      <c r="G65" s="66">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7" t="s">
        <v>223</v>
      </c>
      <c r="C68" s="118"/>
      <c r="D68" s="118"/>
      <c r="E68" s="118"/>
      <c r="F68" s="118"/>
      <c r="G68" s="118"/>
      <c r="H68" s="119"/>
      <c r="I68" s="1"/>
    </row>
    <row r="69" spans="1:9" x14ac:dyDescent="0.25">
      <c r="A69" s="1"/>
      <c r="B69" s="120" t="s">
        <v>221</v>
      </c>
      <c r="C69" s="121"/>
      <c r="D69" s="121"/>
      <c r="E69" s="121"/>
      <c r="F69" s="122"/>
      <c r="G69" s="23">
        <f>(G64-G65)*(1+'Fane 15. Nøgletal'!C16)</f>
        <v>165463143.74858361</v>
      </c>
      <c r="H69" s="14" t="s">
        <v>3</v>
      </c>
      <c r="I69" s="1"/>
    </row>
    <row r="70" spans="1:9" x14ac:dyDescent="0.25">
      <c r="A70" s="1"/>
      <c r="B70" s="120" t="s">
        <v>222</v>
      </c>
      <c r="C70" s="121"/>
      <c r="D70" s="121"/>
      <c r="E70" s="121"/>
      <c r="F70" s="122"/>
      <c r="G70" s="66">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yXyT/VLCd1iD1cK1v4Lfl3HllSlIKD1JKN4DhTol6adbTV3FKhwD72U6E0vVjT1z222QEcYzFJaU1QreSyR2nA==" saltValue="Ju5yPNK1XXNA027taailkQ=="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10</v>
      </c>
      <c r="C8" s="118"/>
      <c r="D8" s="118"/>
      <c r="E8" s="118"/>
      <c r="F8" s="118"/>
      <c r="G8" s="119"/>
      <c r="H8" s="1"/>
    </row>
    <row r="9" spans="1:8" x14ac:dyDescent="0.25">
      <c r="A9" s="1"/>
      <c r="B9" s="120" t="s">
        <v>271</v>
      </c>
      <c r="C9" s="121"/>
      <c r="D9" s="121"/>
      <c r="E9" s="121"/>
      <c r="F9" s="122"/>
      <c r="G9" s="22">
        <v>0</v>
      </c>
      <c r="H9" s="1"/>
    </row>
    <row r="10" spans="1:8" x14ac:dyDescent="0.25">
      <c r="A10" s="1"/>
      <c r="B10" s="33"/>
      <c r="C10" s="28"/>
      <c r="D10" s="28"/>
      <c r="E10" s="28"/>
      <c r="F10" s="28"/>
      <c r="G10" s="19"/>
      <c r="H10" s="1"/>
    </row>
    <row r="11" spans="1:8" ht="33" customHeight="1" x14ac:dyDescent="0.25">
      <c r="A11" s="1"/>
      <c r="B11" s="131" t="s">
        <v>264</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6ju9itVuj67ShtxU9dRPc6OJJ7ogGMWVL9SyqqZXrrxcYUtiQ8Gu2ZC4DtIdklLnAXGTAfp34Rc6fwlJfWsvfA==" saltValue="EHX2NtKiqjqpMjlUUHmoN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2023-11-06T16:23:51Z</dcterms:modified>
</cp:coreProperties>
</file>