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erning Vand AS (S03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25" i="32" l="1"/>
  <c r="E30" i="32" s="1"/>
  <c r="E32" i="32" s="1"/>
  <c r="C26" i="15" l="1"/>
  <c r="C32" i="2"/>
  <c r="C14" i="19"/>
  <c r="E46" i="11" l="1"/>
  <c r="E10" i="37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G33" i="36" l="1"/>
  <c r="G25" i="36"/>
  <c r="G32" i="36" s="1"/>
  <c r="G7" i="36"/>
  <c r="G11" i="36" s="1"/>
  <c r="G34" i="30"/>
  <c r="G14" i="36" l="1"/>
  <c r="G18" i="36" s="1"/>
  <c r="G20" i="36" l="1"/>
  <c r="G24" i="36"/>
  <c r="G31" i="36" s="1"/>
  <c r="G35" i="36" l="1"/>
  <c r="E23" i="27" s="1"/>
  <c r="G39" i="36" l="1"/>
  <c r="E11" i="20" l="1"/>
  <c r="G33" i="30" l="1"/>
  <c r="E10" i="20" l="1"/>
  <c r="E12" i="20" s="1"/>
  <c r="E11" i="11" l="1"/>
  <c r="E10" i="11"/>
  <c r="G7" i="30" l="1"/>
  <c r="G11" i="30" s="1"/>
  <c r="E29" i="20" l="1"/>
  <c r="E23" i="20"/>
  <c r="E17" i="20"/>
  <c r="E17" i="40" l="1"/>
  <c r="C30" i="2" s="1"/>
  <c r="E28" i="20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7" i="36" l="1"/>
  <c r="C9" i="22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E38" i="39"/>
  <c r="C22" i="23" s="1"/>
  <c r="E14" i="39"/>
  <c r="C27" i="2" s="1"/>
  <c r="C14" i="39"/>
  <c r="C26" i="2" s="1"/>
  <c r="C23" i="22" l="1"/>
  <c r="C23" i="23"/>
  <c r="C24" i="15"/>
  <c r="C28" i="2"/>
  <c r="G27" i="36" l="1"/>
  <c r="G15" i="30"/>
  <c r="G19" i="30" l="1"/>
  <c r="G25" i="30" s="1"/>
  <c r="G21" i="30" l="1"/>
  <c r="G28" i="30"/>
  <c r="G32" i="30"/>
  <c r="F46" i="11" l="1"/>
  <c r="C10" i="37" s="1"/>
  <c r="C13" i="37" s="1"/>
  <c r="C14" i="37" s="1"/>
  <c r="C10" i="2" s="1"/>
  <c r="G46" i="11"/>
  <c r="E11" i="21" l="1"/>
  <c r="C11" i="21"/>
  <c r="E11" i="29"/>
  <c r="C11" i="29"/>
  <c r="C15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3" i="37" l="1"/>
  <c r="E14" i="37" s="1"/>
  <c r="C11" i="2" s="1"/>
  <c r="G40" i="36" s="1"/>
  <c r="G40" i="30"/>
  <c r="G42" i="30" s="1"/>
  <c r="G46" i="30" s="1"/>
  <c r="G49" i="30" s="1"/>
  <c r="E22" i="27"/>
  <c r="E24" i="27" s="1"/>
  <c r="G41" i="36" l="1"/>
  <c r="C19" i="2" s="1"/>
  <c r="G46" i="36"/>
  <c r="C18" i="2"/>
  <c r="E35" i="27"/>
  <c r="C9" i="2"/>
  <c r="C14" i="15"/>
  <c r="G45" i="36" l="1"/>
  <c r="G48" i="36" s="1"/>
  <c r="C16" i="2"/>
  <c r="C17" i="2" s="1"/>
  <c r="G54" i="30"/>
  <c r="G52" i="36" l="1"/>
  <c r="G54" i="36" s="1"/>
  <c r="C14" i="22" s="1"/>
  <c r="C20" i="2"/>
  <c r="C35" i="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<sst xmlns="http://schemas.openxmlformats.org/spreadsheetml/2006/main" count="824" uniqueCount="309">
  <si>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</si>
  <si>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</si>
  <si>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</si>
  <si>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</si>
  <si>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</si>
  <si>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</si>
  <si>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</si>
  <si>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</si>
  <si>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</si>
  <si>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</si>
  <si>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</si>
  <si>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</si>
  <si>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</si>
  <si>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</si>
  <si>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</si>
  <si>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</si>
  <si>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</si>
  <si>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</si>
  <si>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</si>
  <si>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</si>
  <si>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</si>
  <si>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</si>
  <si>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</si>
  <si>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</si>
  <si>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</si>
  <si>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</si>
  <si>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</si>
  <si>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</si>
  <si>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</si>
  <si>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</si>
  <si>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</si>
  <si>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</si>
  <si>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</si>
  <si>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</si>
  <si>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</si>
  <si>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</si>
  <si>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</si>
  <si>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</si>
  <si>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</si>
  <si>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</si>
  <si>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</si>
  <si>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</si>
  <si>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</si>
  <si>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</si>
  <si>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</si>
  <si>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</si>
  <si>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</si>
  <si>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</si>
  <si>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</si>
  <si>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</si>
  <si>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</si>
  <si>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</si>
  <si>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</si>
  <si>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</si>
  <si>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</si>
  <si>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</si>
  <si>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</si>
  <si>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</si>
  <si>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</si>
  <si>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</si>
  <si>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</si>
  <si>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</si>
  <si>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</si>
  <si>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</si>
  <si>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</si>
  <si>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</si>
  <si>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</si>
  <si>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</si>
  <si>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</si>
  <si>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</si>
  <si>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</si>
  <si>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</si>
  <si>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</si>
  <si>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</si>
  <si>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</si>
  <si>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</si>
  <si>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</si>
  <si>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</si>
  <si>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</si>
  <si>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</si>
  <si>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</si>
  <si>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</si>
  <si>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</si>
  <si>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</si>
  <si>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</si>
  <si>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</si>
  <si>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</si>
  <si>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</si>
  <si>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</si>
  <si>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</si>
  <si>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</si>
  <si>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</si>
  <si>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</si>
  <si>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</si>
  <si>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</si>
  <si>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</si>
  <si>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</si>
  <si>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</si>
  <si>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</si>
  <si>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</si>
  <si>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</si>
  <si>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</si>
  <si>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</si>
  <si>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</si>
  <si>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</si>
  <si>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</si>
  <si>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</si>
  <si>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</si>
  <si>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</si>
  <si>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</si>
  <si>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</si>
  <si>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</si>
  <si>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</si>
  <si>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</si>
  <si>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</si>
  <si>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</si>
  <si>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</si>
  <si>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</si>
  <si>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</si>
  <si>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</si>
  <si>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</si>
  <si>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</si>
  <si>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</si>
  <si>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</si>
  <si>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</si>
  <si>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</si>
  <si>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</si>
  <si>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</si>
  <si>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</si>
  <si>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</si>
  <si>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</si>
  <si>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</si>
  <si>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</si>
  <si>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</si>
  <si>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</si>
  <si>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</si>
  <si>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</si>
  <si>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</si>
  <si>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</si>
  <si>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</si>
  <si>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</si>
  <si>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</si>
  <si>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</si>
  <si>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</si>
  <si>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</si>
  <si>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</si>
  <si>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</si>
  <si>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</si>
  <si>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</si>
  <si>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</si>
  <si>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</si>
  <si>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</si>
  <si>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</si>
  <si>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</si>
  <si>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</si>
  <si>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</si>
  <si>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</si>
  <si>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</si>
  <si>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</si>
  <si>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</si>
  <si>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</si>
  <si>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</si>
  <si>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</si>
  <si>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</si>
  <si>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</si>
  <si>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</si>
  <si>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</si>
  <si>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</si>
  <si>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</si>
  <si>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</si>
  <si>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</si>
  <si>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</si>
  <si>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</si>
  <si>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</si>
  <si>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</si>
  <si>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</si>
  <si>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</si>
  <si>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</si>
  <si>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</si>
  <si>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</si>
  <si>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</si>
  <si>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</si>
  <si>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</si>
  <si>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</si>
  <si>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</si>
  <si>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</si>
  <si>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</si>
  <si>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</si>
  <si>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</si>
  <si>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</si>
  <si>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</si>
  <si>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</si>
  <si>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</si>
  <si>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</si>
  <si>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</si>
  <si>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</si>
  <si>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</si>
  <si>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</si>
  <si>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</si>
  <si>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</si>
  <si>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</si>
  <si>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</si>
  <si>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</si>
  <si>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</si>
  <si>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</si>
  <si>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</si>
  <si>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</si>
  <si>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</si>
  <si>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</si>
  <si>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</si>
  <si>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</si>
  <si>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</si>
  <si>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</si>
  <si>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</si>
  <si>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</si>
  <si>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</si>
  <si>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</si>
  <si>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</si>
  <si>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</si>
  <si>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</si>
  <si>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</si>
  <si>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</si>
  <si>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</si>
  <si>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</si>
  <si>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</si>
  <si>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</si>
  <si>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</si>
  <si>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</si>
  <si>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</si>
  <si>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</si>
  <si>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</si>
  <si>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</si>
  <si>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</si>
  <si>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</si>
  <si>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</si>
  <si>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</si>
  <si>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</si>
  <si>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</si>
  <si>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</si>
  <si>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</si>
  <si>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</si>
  <si>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</si>
  <si>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</si>
  <si>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</si>
  <si>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</si>
  <si>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</si>
  <si>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</si>
  <si>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</si>
  <si>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</si>
  <si>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</si>
  <si>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</si>
  <si>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</si>
  <si>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</si>
  <si>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</si>
  <si>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</si>
  <si>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</si>
  <si>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</si>
  <si>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</si>
  <si>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</si>
  <si>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</si>
  <si>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</si>
  <si>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</si>
  <si>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</si>
  <si>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</si>
  <si>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</si>
  <si>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</si>
  <si>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Brønde</t>
  </si>
  <si>
    <t>75</t>
  </si>
  <si>
    <t>Ledningsnet &gt; Ø 1600 mm (rørbassiner og transportledninger)</t>
  </si>
  <si>
    <t>Ø 1000 mm &lt; Ledningsnet ≤ Ø 1200 mm</t>
  </si>
  <si>
    <t>Ø 1200 mm &lt; Ledningsnet ≤ Ø 1600 mm</t>
  </si>
  <si>
    <t>Ø 500 mm &lt; Ledningsnet ≤ Ø 800 mm</t>
  </si>
  <si>
    <t>Ø 800 mm &lt; Ledningsnet ≤ Ø 1000 mm</t>
  </si>
  <si>
    <t>Ledningsnet ≤ Ø 200 mm</t>
  </si>
  <si>
    <t>Ø 200 mm &lt; Ledningsnet ≤ Ø 500 mm</t>
  </si>
  <si>
    <t>Pumpestationer i brønde (&lt; 6,25 m2), Konstruktioner</t>
  </si>
  <si>
    <t>50</t>
  </si>
  <si>
    <t>Pumpestationer i brønde (&lt; 6,25 m2), Mek/EL</t>
  </si>
  <si>
    <t>20</t>
  </si>
  <si>
    <t>Pumpestationer i brønde (&lt; 6,25 m2), SRO</t>
  </si>
  <si>
    <t>10</t>
  </si>
  <si>
    <t>Jordbassin Klasse A</t>
  </si>
  <si>
    <t>Strømpeforing ≤ Ø 200 mm</t>
  </si>
  <si>
    <t>Strømpeforing Ø 1000 mm &lt; Ledningsnet ≤ Ø 1200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</si>
  <si>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</si>
  <si>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</si>
  <si>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</si>
  <si>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Ingen tilknyttet virksomhed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</si>
  <si>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</si>
  <si>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</si>
  <si>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</si>
  <si>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</si>
  <si>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</si>
  <si>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</si>
  <si>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</si>
  <si>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</si>
  <si>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</si>
  <si>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</si>
  <si>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</si>
  <si>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</si>
  <si>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</si>
  <si>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</si>
  <si>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</si>
  <si>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</si>
  <si>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</si>
  <si>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Separatkloakering</t>
  </si>
  <si>
    <t>Udvidelser af forsyningsområde</t>
  </si>
  <si>
    <t>Ingen engangstillæg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</si>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</sst>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4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5">
      <c r="A8" s="1"/>
      <c r="B8" s="1"/>
      <c r="C8" s="4"/>
      <c r="D8" s="76" t="s">
        <v>174</v>
      </c>
      <c r="E8" s="76"/>
      <c r="F8" s="76"/>
      <c r="G8" s="7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7" t="s">
        <v>175</v>
      </c>
      <c r="E13" s="78"/>
      <c r="F13" s="78"/>
      <c r="G13" s="79"/>
      <c r="H13" s="1"/>
      <c r="I13" s="1"/>
    </row>
    <row r="14" spans="1:9" x14ac:dyDescent="0.45">
      <c r="A14" s="1"/>
      <c r="B14" s="1"/>
      <c r="C14" s="6" t="s">
        <v>17</v>
      </c>
      <c r="D14" s="77" t="s">
        <v>176</v>
      </c>
      <c r="E14" s="78"/>
      <c r="F14" s="78"/>
      <c r="G14" s="79"/>
      <c r="H14" s="1"/>
      <c r="I14" s="1"/>
    </row>
    <row r="15" spans="1:9" x14ac:dyDescent="0.45">
      <c r="A15" s="1"/>
      <c r="B15" s="1"/>
      <c r="C15" s="6" t="s">
        <v>37</v>
      </c>
      <c r="D15" s="77" t="s">
        <v>136</v>
      </c>
      <c r="E15" s="78"/>
      <c r="F15" s="78"/>
      <c r="G15" s="79"/>
      <c r="H15" s="1"/>
      <c r="I15" s="1"/>
    </row>
    <row r="16" spans="1:9" x14ac:dyDescent="0.45">
      <c r="A16" s="1"/>
      <c r="B16" s="1"/>
      <c r="C16" s="6" t="s">
        <v>38</v>
      </c>
      <c r="D16" s="77" t="s">
        <v>177</v>
      </c>
      <c r="E16" s="78"/>
      <c r="F16" s="78"/>
      <c r="G16" s="79"/>
      <c r="H16" s="1"/>
      <c r="I16" s="1"/>
    </row>
    <row r="17" spans="1:9" x14ac:dyDescent="0.45">
      <c r="A17" s="1"/>
      <c r="B17" s="1"/>
      <c r="C17" s="6" t="s">
        <v>132</v>
      </c>
      <c r="D17" s="77" t="s">
        <v>178</v>
      </c>
      <c r="E17" s="78"/>
      <c r="F17" s="78"/>
      <c r="G17" s="79"/>
      <c r="H17" s="1"/>
      <c r="I17" s="1"/>
    </row>
    <row r="18" spans="1:9" x14ac:dyDescent="0.45">
      <c r="A18" s="1"/>
      <c r="B18" s="1"/>
      <c r="C18" s="6" t="s">
        <v>110</v>
      </c>
      <c r="D18" s="80" t="s">
        <v>94</v>
      </c>
      <c r="E18" s="81"/>
      <c r="F18" s="81"/>
      <c r="G18" s="82"/>
      <c r="H18" s="1"/>
      <c r="I18" s="1"/>
    </row>
    <row r="19" spans="1:9" x14ac:dyDescent="0.45">
      <c r="A19" s="1"/>
      <c r="B19" s="1"/>
      <c r="C19" s="6" t="s">
        <v>111</v>
      </c>
      <c r="D19" s="80" t="s">
        <v>95</v>
      </c>
      <c r="E19" s="81"/>
      <c r="F19" s="81"/>
      <c r="G19" s="82"/>
      <c r="H19" s="1"/>
      <c r="I19" s="1"/>
    </row>
    <row r="20" spans="1:9" x14ac:dyDescent="0.4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112</v>
      </c>
      <c r="D21" s="68" t="s">
        <v>13</v>
      </c>
      <c r="E21" s="69"/>
      <c r="F21" s="69"/>
      <c r="G21" s="70"/>
      <c r="H21" s="1"/>
      <c r="I21" s="1"/>
    </row>
    <row r="22" spans="1:9" x14ac:dyDescent="0.45">
      <c r="A22" s="1"/>
      <c r="B22" s="1"/>
      <c r="C22" s="6" t="s">
        <v>75</v>
      </c>
      <c r="D22" s="71" t="s">
        <v>179</v>
      </c>
      <c r="E22" s="72"/>
      <c r="F22" s="72"/>
      <c r="G22" s="73"/>
      <c r="H22" s="1"/>
      <c r="I22" s="1"/>
    </row>
    <row r="23" spans="1:9" x14ac:dyDescent="0.45">
      <c r="A23" s="1"/>
      <c r="B23" s="1"/>
      <c r="C23" s="6" t="s">
        <v>8</v>
      </c>
      <c r="D23" s="71" t="s">
        <v>180</v>
      </c>
      <c r="E23" s="72"/>
      <c r="F23" s="72"/>
      <c r="G23" s="73"/>
      <c r="H23" s="1"/>
      <c r="I23" s="1"/>
    </row>
    <row r="24" spans="1:9" x14ac:dyDescent="0.45">
      <c r="A24" s="1"/>
      <c r="B24" s="1"/>
      <c r="C24" s="6" t="s">
        <v>9</v>
      </c>
      <c r="D24" s="71" t="s">
        <v>39</v>
      </c>
      <c r="E24" s="72"/>
      <c r="F24" s="72"/>
      <c r="G24" s="73"/>
      <c r="H24" s="1"/>
      <c r="I24" s="1"/>
    </row>
    <row r="25" spans="1:9" x14ac:dyDescent="0.45">
      <c r="A25" s="1"/>
      <c r="B25" s="1"/>
      <c r="C25" s="6" t="s">
        <v>113</v>
      </c>
      <c r="D25" s="71" t="s">
        <v>76</v>
      </c>
      <c r="E25" s="72"/>
      <c r="F25" s="72"/>
      <c r="G25" s="73"/>
      <c r="H25" s="1"/>
      <c r="I25" s="1"/>
    </row>
    <row r="26" spans="1:9" x14ac:dyDescent="0.45">
      <c r="A26" s="1"/>
      <c r="B26" s="1"/>
      <c r="C26" s="6" t="s">
        <v>114</v>
      </c>
      <c r="D26" s="71" t="s">
        <v>77</v>
      </c>
      <c r="E26" s="72"/>
      <c r="F26" s="72"/>
      <c r="G26" s="73"/>
      <c r="H26" s="1"/>
      <c r="I26" s="1"/>
    </row>
    <row r="27" spans="1:9" x14ac:dyDescent="0.45">
      <c r="A27" s="1"/>
      <c r="B27" s="1"/>
      <c r="C27" s="6" t="s">
        <v>115</v>
      </c>
      <c r="D27" s="71" t="s">
        <v>78</v>
      </c>
      <c r="E27" s="72"/>
      <c r="F27" s="72"/>
      <c r="G27" s="73"/>
      <c r="H27" s="1"/>
      <c r="I27" s="1"/>
    </row>
    <row r="28" spans="1:9" x14ac:dyDescent="0.45">
      <c r="A28" s="1"/>
      <c r="B28" s="1"/>
      <c r="C28" s="6" t="s">
        <v>16</v>
      </c>
      <c r="D28" s="71" t="s">
        <v>135</v>
      </c>
      <c r="E28" s="72"/>
      <c r="F28" s="72"/>
      <c r="G28" s="73"/>
      <c r="H28" s="1"/>
      <c r="I28" s="1"/>
    </row>
    <row r="29" spans="1:9" x14ac:dyDescent="0.45">
      <c r="A29" s="1"/>
      <c r="B29" s="1"/>
      <c r="C29" s="6" t="s">
        <v>41</v>
      </c>
      <c r="D29" s="71" t="s">
        <v>40</v>
      </c>
      <c r="E29" s="72"/>
      <c r="F29" s="72"/>
      <c r="G29" s="73"/>
      <c r="H29" s="1"/>
      <c r="I29" s="1"/>
    </row>
    <row r="30" spans="1:9" x14ac:dyDescent="0.45">
      <c r="A30" s="1"/>
      <c r="B30" s="1"/>
      <c r="C30" s="6" t="s">
        <v>42</v>
      </c>
      <c r="D30" s="65" t="s">
        <v>108</v>
      </c>
      <c r="E30" s="66"/>
      <c r="F30" s="66"/>
      <c r="G30" s="67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I5umlLIaqhoq2oZf+UCEhJx6C/r9cBHv4du5GaTwLTkIMEoY415tb8nY0ILw4doqT8fKVTs9prPR7K1QNEMtg==" saltValue="sO0kd0JYeNkJExXhoNgwNw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3" t="s">
        <v>119</v>
      </c>
      <c r="C3" s="83"/>
      <c r="D3" s="83"/>
      <c r="E3" s="1"/>
      <c r="F3" s="1"/>
    </row>
    <row r="4" spans="1:6" ht="15" customHeight="1" x14ac:dyDescent="0.45">
      <c r="A4" s="1"/>
      <c r="B4" s="83"/>
      <c r="C4" s="83"/>
      <c r="D4" s="8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7" t="s">
        <v>197</v>
      </c>
      <c r="C8" s="108"/>
      <c r="D8" s="109"/>
      <c r="E8" s="1"/>
      <c r="F8" s="1"/>
    </row>
    <row r="9" spans="1:6" ht="15" customHeight="1" x14ac:dyDescent="0.45">
      <c r="A9" s="1"/>
      <c r="B9" s="43" t="s">
        <v>35</v>
      </c>
      <c r="C9" s="11" t="s">
        <v>198</v>
      </c>
      <c r="D9" s="11"/>
      <c r="E9" s="1"/>
      <c r="F9" s="1"/>
    </row>
    <row r="10" spans="1:6" ht="15" customHeight="1" x14ac:dyDescent="0.45">
      <c r="A10" s="1"/>
      <c r="B10" s="58" t="s">
        <v>288</v>
      </c>
      <c r="C10" s="9">
        <v>93671</v>
      </c>
      <c r="D10" s="14" t="s">
        <v>3</v>
      </c>
      <c r="E10" s="1"/>
      <c r="F10" s="1"/>
    </row>
    <row r="11" spans="1:6" x14ac:dyDescent="0.45">
      <c r="A11" s="1"/>
      <c r="B11" s="58" t="s">
        <v>289</v>
      </c>
      <c r="C11" s="9">
        <v>32356791</v>
      </c>
      <c r="D11" s="14" t="s">
        <v>3</v>
      </c>
      <c r="E11" s="1"/>
      <c r="F11" s="1"/>
    </row>
    <row r="12" spans="1:6" x14ac:dyDescent="0.45">
      <c r="A12" s="1"/>
      <c r="B12" s="58" t="s">
        <v>290</v>
      </c>
      <c r="C12" s="9">
        <v>129291</v>
      </c>
      <c r="D12" s="14" t="s">
        <v>3</v>
      </c>
      <c r="E12" s="1"/>
      <c r="F12" s="1"/>
    </row>
    <row r="13" spans="1:6" x14ac:dyDescent="0.45">
      <c r="A13" s="1"/>
      <c r="B13" s="58" t="s">
        <v>291</v>
      </c>
      <c r="C13" s="9">
        <v>1957543</v>
      </c>
      <c r="D13" s="14" t="s">
        <v>3</v>
      </c>
      <c r="E13" s="1"/>
      <c r="F13" s="1"/>
    </row>
    <row r="14" spans="1:6" x14ac:dyDescent="0.45">
      <c r="A14" s="1"/>
      <c r="B14" s="36" t="s">
        <v>199</v>
      </c>
      <c r="C14" s="12">
        <f>SUM(C10:C13)</f>
        <v>34537296</v>
      </c>
      <c r="D14" s="13" t="s">
        <v>3</v>
      </c>
      <c r="E14" s="1"/>
      <c r="F14" s="1"/>
    </row>
    <row r="15" spans="1:6" x14ac:dyDescent="0.45">
      <c r="A15" s="1"/>
      <c r="B15" s="36" t="s">
        <v>200</v>
      </c>
      <c r="C15" s="12">
        <f>C14*(1+'Fane 14. Nøgletal'!C14)^2</f>
        <v>34765618.264753446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07" t="s">
        <v>128</v>
      </c>
      <c r="C18" s="108"/>
      <c r="D18" s="109"/>
      <c r="E18" s="1"/>
      <c r="F18" s="1"/>
    </row>
    <row r="19" spans="1:6" x14ac:dyDescent="0.45">
      <c r="A19" s="1"/>
      <c r="B19" s="58" t="s">
        <v>100</v>
      </c>
      <c r="C19" s="9">
        <v>2084584</v>
      </c>
      <c r="D19" s="14" t="s">
        <v>3</v>
      </c>
      <c r="E19" s="1"/>
      <c r="F19" s="1"/>
    </row>
    <row r="20" spans="1:6" x14ac:dyDescent="0.45">
      <c r="A20" s="1"/>
      <c r="B20" s="58" t="s">
        <v>101</v>
      </c>
      <c r="C20" s="9">
        <v>1228253</v>
      </c>
      <c r="D20" s="14" t="s">
        <v>3</v>
      </c>
      <c r="E20" s="1"/>
      <c r="F20" s="1"/>
    </row>
    <row r="21" spans="1:6" x14ac:dyDescent="0.45">
      <c r="A21" s="1"/>
      <c r="B21" s="58" t="s">
        <v>141</v>
      </c>
      <c r="C21" s="9">
        <v>159201</v>
      </c>
      <c r="D21" s="14" t="s">
        <v>3</v>
      </c>
      <c r="E21" s="1"/>
      <c r="F21" s="1"/>
    </row>
    <row r="22" spans="1:6" x14ac:dyDescent="0.45">
      <c r="A22" s="1"/>
      <c r="B22" s="58" t="s">
        <v>201</v>
      </c>
      <c r="C22" s="9">
        <v>162383</v>
      </c>
      <c r="D22" s="14" t="s">
        <v>3</v>
      </c>
      <c r="E22" s="1"/>
      <c r="F22" s="1"/>
    </row>
    <row r="23" spans="1:6" x14ac:dyDescent="0.45">
      <c r="A23" s="1"/>
      <c r="B23" s="107"/>
      <c r="C23" s="108"/>
      <c r="D23" s="109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07" t="s">
        <v>99</v>
      </c>
      <c r="C26" s="108"/>
      <c r="D26" s="109"/>
      <c r="E26" s="1"/>
      <c r="F26" s="1"/>
    </row>
    <row r="27" spans="1:6" x14ac:dyDescent="0.45">
      <c r="A27" s="1"/>
      <c r="B27" s="58" t="s">
        <v>100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58" t="s">
        <v>101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58" t="s">
        <v>141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8" t="s">
        <v>201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107"/>
      <c r="C31" s="108"/>
      <c r="D31" s="109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dcNp6hgk/LoNZk2/FikVvzVFOFmhy7AbYHZcBiGbSR/ueO5wBSiqFy/DCmLPTq/il4FxFDWFNj61QcTvK8Juvg==" saltValue="K8MCHaB/q+ZszxWGyNoHL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202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7" t="s">
        <v>293</v>
      </c>
      <c r="C8" s="108"/>
      <c r="D8" s="108"/>
      <c r="E8" s="108"/>
      <c r="F8" s="109"/>
      <c r="G8" s="1"/>
    </row>
    <row r="9" spans="1:7" x14ac:dyDescent="0.45">
      <c r="A9" s="1"/>
      <c r="B9" s="110" t="s">
        <v>294</v>
      </c>
      <c r="C9" s="111"/>
      <c r="D9" s="112"/>
      <c r="E9" s="9">
        <v>38888337.131232023</v>
      </c>
      <c r="F9" s="14" t="s">
        <v>3</v>
      </c>
      <c r="G9" s="1"/>
    </row>
    <row r="10" spans="1:7" x14ac:dyDescent="0.45">
      <c r="A10" s="1"/>
      <c r="B10" s="110" t="s">
        <v>295</v>
      </c>
      <c r="C10" s="111"/>
      <c r="D10" s="112"/>
      <c r="E10" s="9">
        <v>39673171.067545384</v>
      </c>
      <c r="F10" s="14" t="s">
        <v>3</v>
      </c>
      <c r="G10" s="1"/>
    </row>
    <row r="11" spans="1:7" x14ac:dyDescent="0.45">
      <c r="A11" s="1"/>
      <c r="B11" s="110" t="s">
        <v>296</v>
      </c>
      <c r="C11" s="111"/>
      <c r="D11" s="112"/>
      <c r="E11" s="9">
        <v>8334572.0195885897</v>
      </c>
      <c r="F11" s="14" t="s">
        <v>3</v>
      </c>
      <c r="G11" s="1"/>
    </row>
    <row r="12" spans="1:7" x14ac:dyDescent="0.45">
      <c r="A12" s="1"/>
      <c r="B12" s="36"/>
      <c r="C12" s="37"/>
      <c r="D12" s="37"/>
      <c r="E12" s="37"/>
      <c r="F12" s="20"/>
      <c r="G12" s="1"/>
    </row>
    <row r="13" spans="1:7" ht="52.5" customHeight="1" x14ac:dyDescent="0.45">
      <c r="A13" s="1"/>
      <c r="B13" s="85" t="s">
        <v>297</v>
      </c>
      <c r="C13" s="86"/>
      <c r="D13" s="86"/>
      <c r="E13" s="86"/>
      <c r="F13" s="87"/>
      <c r="G13" s="1"/>
    </row>
    <row r="14" spans="1:7" ht="27" customHeight="1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07" t="s">
        <v>298</v>
      </c>
      <c r="C15" s="108"/>
      <c r="D15" s="108"/>
      <c r="E15" s="108"/>
      <c r="F15" s="109"/>
      <c r="G15" s="1"/>
    </row>
    <row r="16" spans="1:7" x14ac:dyDescent="0.45">
      <c r="A16" s="1"/>
      <c r="B16" s="110" t="s">
        <v>299</v>
      </c>
      <c r="C16" s="111"/>
      <c r="D16" s="112"/>
      <c r="E16" s="9">
        <v>0</v>
      </c>
      <c r="F16" s="14" t="s">
        <v>3</v>
      </c>
      <c r="G16" s="1"/>
    </row>
    <row r="17" spans="1:7" x14ac:dyDescent="0.45">
      <c r="A17" s="1"/>
      <c r="B17" s="110" t="s">
        <v>300</v>
      </c>
      <c r="C17" s="111"/>
      <c r="D17" s="112"/>
      <c r="E17" s="9">
        <v>0</v>
      </c>
      <c r="F17" s="14" t="s">
        <v>3</v>
      </c>
      <c r="G17" s="1"/>
    </row>
    <row r="18" spans="1:7" x14ac:dyDescent="0.45">
      <c r="A18" s="1"/>
      <c r="B18" s="36"/>
      <c r="C18" s="37"/>
      <c r="D18" s="37"/>
      <c r="E18" s="37"/>
      <c r="F18" s="20"/>
      <c r="G18" s="1"/>
    </row>
    <row r="19" spans="1:7" ht="31.5" customHeight="1" x14ac:dyDescent="0.45">
      <c r="A19" s="1"/>
      <c r="B19" s="85" t="s">
        <v>301</v>
      </c>
      <c r="C19" s="86"/>
      <c r="D19" s="86"/>
      <c r="E19" s="86"/>
      <c r="F19" s="87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52" t="s">
        <v>240</v>
      </c>
      <c r="C21" s="53"/>
      <c r="D21" s="53"/>
      <c r="E21" s="53"/>
      <c r="F21" s="54"/>
      <c r="G21" s="1"/>
    </row>
    <row r="22" spans="1:7" x14ac:dyDescent="0.45">
      <c r="A22" s="1"/>
      <c r="B22" s="55" t="s">
        <v>241</v>
      </c>
      <c r="C22" s="56"/>
      <c r="D22" s="57"/>
      <c r="E22" s="9">
        <v>134273821.72636455</v>
      </c>
      <c r="F22" s="14" t="s">
        <v>3</v>
      </c>
      <c r="G22" s="1"/>
    </row>
    <row r="23" spans="1:7" x14ac:dyDescent="0.45">
      <c r="A23" s="1"/>
      <c r="B23" s="55" t="s">
        <v>242</v>
      </c>
      <c r="C23" s="56"/>
      <c r="D23" s="57"/>
      <c r="E23" s="9">
        <v>119946326</v>
      </c>
      <c r="F23" s="14" t="s">
        <v>3</v>
      </c>
      <c r="G23" s="1"/>
    </row>
    <row r="24" spans="1:7" x14ac:dyDescent="0.45">
      <c r="A24" s="1"/>
      <c r="B24" s="55" t="s">
        <v>36</v>
      </c>
      <c r="C24" s="56"/>
      <c r="D24" s="57"/>
      <c r="E24" s="9">
        <v>0</v>
      </c>
      <c r="F24" s="14" t="s">
        <v>3</v>
      </c>
      <c r="G24" s="1"/>
    </row>
    <row r="25" spans="1:7" x14ac:dyDescent="0.45">
      <c r="A25" s="1"/>
      <c r="B25" s="46" t="s">
        <v>302</v>
      </c>
      <c r="C25" s="47"/>
      <c r="D25" s="48"/>
      <c r="E25" s="39">
        <f>E22-(E23-E24)</f>
        <v>14327495.726364553</v>
      </c>
      <c r="F25" s="17" t="s">
        <v>3</v>
      </c>
      <c r="G25" s="1"/>
    </row>
    <row r="26" spans="1:7" x14ac:dyDescent="0.45">
      <c r="A26" s="1"/>
      <c r="B26" s="36"/>
      <c r="C26" s="37"/>
      <c r="D26" s="37"/>
      <c r="E26" s="37"/>
      <c r="F26" s="20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07" t="s">
        <v>169</v>
      </c>
      <c r="C29" s="108"/>
      <c r="D29" s="108"/>
      <c r="E29" s="108"/>
      <c r="F29" s="109"/>
      <c r="G29" s="1"/>
    </row>
    <row r="30" spans="1:7" x14ac:dyDescent="0.45">
      <c r="A30" s="1"/>
      <c r="B30" s="124" t="s">
        <v>170</v>
      </c>
      <c r="C30" s="125"/>
      <c r="D30" s="126"/>
      <c r="E30" s="9">
        <f>IF(AND(E9&lt;0,SUM(E10:E11,E25)&gt;0),E9,IF(AND(E9&lt;0,SUM(E10:E11,E25)&lt;0),E9+SUM(E10:E11,E25),IF(AND(E9&gt;0,SUM(E9:E11,E25)&gt;0),0,IF(AND(E9&gt;0,SUM(E9:E11,E25)&lt;0),SUM(E9:E11,E25)))))</f>
        <v>0</v>
      </c>
      <c r="F30" s="14" t="s">
        <v>3</v>
      </c>
      <c r="G30" s="1"/>
    </row>
    <row r="31" spans="1:7" x14ac:dyDescent="0.45">
      <c r="A31" s="1"/>
      <c r="B31" s="124" t="s">
        <v>104</v>
      </c>
      <c r="C31" s="125"/>
      <c r="D31" s="126"/>
      <c r="E31" s="9">
        <v>2</v>
      </c>
      <c r="F31" s="14" t="s">
        <v>21</v>
      </c>
      <c r="G31" s="1"/>
    </row>
    <row r="32" spans="1:7" x14ac:dyDescent="0.45">
      <c r="A32" s="1"/>
      <c r="B32" s="127" t="s">
        <v>172</v>
      </c>
      <c r="C32" s="127"/>
      <c r="D32" s="127"/>
      <c r="E32" s="10">
        <f>E30/E31</f>
        <v>0</v>
      </c>
      <c r="F32" s="17" t="s">
        <v>3</v>
      </c>
      <c r="G32" s="1"/>
    </row>
    <row r="33" spans="1:7" x14ac:dyDescent="0.45">
      <c r="A33" s="1"/>
      <c r="B33" s="121"/>
      <c r="C33" s="122"/>
      <c r="D33" s="122"/>
      <c r="E33" s="122"/>
      <c r="F33" s="123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</sheetData>
  <sheetProtection algorithmName="SHA-512" hashValue="ruzV0CxkEDXIccz3yciVb7z83xmSpxw79lW1yHyY1AgMpmyt9ox0ZbmA+fN8vkO9kW2kkIni5asJTnm/EGc9MA==" saltValue="ZDIqjbiCsG36ePH3izYy6g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203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107" t="s">
        <v>204</v>
      </c>
      <c r="C9" s="108"/>
      <c r="D9" s="108"/>
      <c r="E9" s="108"/>
      <c r="F9" s="108"/>
      <c r="G9" s="1"/>
    </row>
    <row r="10" spans="1:7" x14ac:dyDescent="0.45">
      <c r="A10" s="1"/>
      <c r="B10" s="85" t="s">
        <v>102</v>
      </c>
      <c r="C10" s="86"/>
      <c r="D10" s="87"/>
      <c r="E10" s="7"/>
      <c r="F10" s="8" t="s">
        <v>3</v>
      </c>
      <c r="G10" s="1"/>
    </row>
    <row r="11" spans="1:7" x14ac:dyDescent="0.45">
      <c r="A11" s="1"/>
      <c r="B11" s="110" t="s">
        <v>205</v>
      </c>
      <c r="C11" s="111"/>
      <c r="D11" s="112"/>
      <c r="E11" s="7"/>
      <c r="F11" s="8" t="s">
        <v>3</v>
      </c>
      <c r="G11" s="1"/>
    </row>
    <row r="12" spans="1:7" x14ac:dyDescent="0.45">
      <c r="A12" s="1"/>
      <c r="B12" s="97" t="s">
        <v>103</v>
      </c>
      <c r="C12" s="98"/>
      <c r="D12" s="99"/>
      <c r="E12" s="10">
        <f>E11-E10</f>
        <v>0</v>
      </c>
      <c r="F12" s="11" t="s">
        <v>3</v>
      </c>
      <c r="G12" s="1"/>
    </row>
    <row r="13" spans="1:7" x14ac:dyDescent="0.45">
      <c r="A13" s="1"/>
      <c r="B13" s="107" t="s">
        <v>93</v>
      </c>
      <c r="C13" s="108"/>
      <c r="D13" s="108"/>
      <c r="E13" s="108"/>
      <c r="F13" s="108"/>
      <c r="G13" s="1"/>
    </row>
    <row r="14" spans="1:7" x14ac:dyDescent="0.45">
      <c r="A14" s="1"/>
      <c r="B14" s="110" t="s">
        <v>206</v>
      </c>
      <c r="C14" s="111"/>
      <c r="D14" s="112"/>
      <c r="E14" s="9">
        <v>2078642</v>
      </c>
      <c r="F14" s="8" t="s">
        <v>3</v>
      </c>
      <c r="G14" s="1"/>
    </row>
    <row r="15" spans="1:7" x14ac:dyDescent="0.45">
      <c r="A15" s="1"/>
      <c r="B15" s="85" t="s">
        <v>207</v>
      </c>
      <c r="C15" s="86"/>
      <c r="D15" s="87"/>
      <c r="E15" s="9">
        <v>0</v>
      </c>
      <c r="F15" s="8" t="s">
        <v>3</v>
      </c>
      <c r="G15" s="1"/>
    </row>
    <row r="16" spans="1:7" x14ac:dyDescent="0.45">
      <c r="A16" s="1"/>
      <c r="B16" s="97" t="s">
        <v>103</v>
      </c>
      <c r="C16" s="98"/>
      <c r="D16" s="99"/>
      <c r="E16" s="10">
        <f>E15-E14</f>
        <v>-2078642</v>
      </c>
      <c r="F16" s="11" t="s">
        <v>3</v>
      </c>
      <c r="G16" s="1"/>
    </row>
    <row r="17" spans="1:7" ht="15" customHeight="1" x14ac:dyDescent="0.45">
      <c r="A17" s="1"/>
      <c r="B17" s="36" t="s">
        <v>208</v>
      </c>
      <c r="C17" s="37"/>
      <c r="D17" s="37"/>
      <c r="E17" s="12">
        <f>E12+E16</f>
        <v>-2078642</v>
      </c>
      <c r="F17" s="13" t="s">
        <v>3</v>
      </c>
      <c r="G17" s="1"/>
    </row>
    <row r="18" spans="1:7" ht="1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NlOmjFK5xuPn8f4HibEonAtm6nH3EbVUyLIPNh/Y6ItnHkXtU+cTtK/xpS8/diQwPlA3J7gYk9ApkCtJB4ZaOA==" saltValue="o8/8PLFFw+Ubu7OzVkugI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3" t="s">
        <v>155</v>
      </c>
      <c r="C3" s="83"/>
      <c r="D3" s="83"/>
      <c r="E3" s="83"/>
      <c r="F3" s="83"/>
      <c r="G3" s="83"/>
      <c r="H3" s="83"/>
      <c r="I3" s="1"/>
    </row>
    <row r="4" spans="1:9" ht="15" customHeight="1" x14ac:dyDescent="0.4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7" t="s">
        <v>156</v>
      </c>
      <c r="C8" s="108"/>
      <c r="D8" s="108"/>
      <c r="E8" s="108"/>
      <c r="F8" s="108"/>
      <c r="G8" s="108"/>
      <c r="H8" s="109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2"/>
      <c r="I9" s="1"/>
    </row>
    <row r="10" spans="1:9" x14ac:dyDescent="0.45">
      <c r="A10" s="1"/>
      <c r="B10" s="60" t="s">
        <v>266</v>
      </c>
      <c r="C10" s="63" t="s">
        <v>267</v>
      </c>
      <c r="D10" s="9">
        <v>325964.52</v>
      </c>
      <c r="E10" s="9">
        <f>IFERROR(D10/C10,0)</f>
        <v>4346.1936000000005</v>
      </c>
      <c r="F10" s="9">
        <v>0</v>
      </c>
      <c r="G10" s="9">
        <v>5357.7</v>
      </c>
      <c r="H10" s="14" t="s">
        <v>3</v>
      </c>
      <c r="I10" s="1"/>
    </row>
    <row r="11" spans="1:9" ht="39.75" x14ac:dyDescent="0.45">
      <c r="A11" s="1"/>
      <c r="B11" s="60" t="s">
        <v>268</v>
      </c>
      <c r="C11" s="63" t="s">
        <v>267</v>
      </c>
      <c r="D11" s="9">
        <v>10268647.32</v>
      </c>
      <c r="E11" s="9">
        <f t="shared" ref="E11:E45" si="0">IFERROR(D11/C11,0)</f>
        <v>136915.29759999999</v>
      </c>
      <c r="F11" s="9">
        <v>0</v>
      </c>
      <c r="G11" s="9">
        <v>168780.04</v>
      </c>
      <c r="H11" s="14" t="s">
        <v>3</v>
      </c>
      <c r="I11" s="1"/>
    </row>
    <row r="12" spans="1:9" ht="26.65" x14ac:dyDescent="0.45">
      <c r="A12" s="1"/>
      <c r="B12" s="60" t="s">
        <v>269</v>
      </c>
      <c r="C12" s="63" t="s">
        <v>267</v>
      </c>
      <c r="D12" s="9">
        <v>319103.87</v>
      </c>
      <c r="E12" s="9">
        <f t="shared" si="0"/>
        <v>4254.7182666666668</v>
      </c>
      <c r="F12" s="9">
        <v>0</v>
      </c>
      <c r="G12" s="9">
        <v>5244.93</v>
      </c>
      <c r="H12" s="14" t="s">
        <v>3</v>
      </c>
      <c r="I12" s="1"/>
    </row>
    <row r="13" spans="1:9" ht="26.65" x14ac:dyDescent="0.45">
      <c r="A13" s="1"/>
      <c r="B13" s="60" t="s">
        <v>270</v>
      </c>
      <c r="C13" s="63" t="s">
        <v>267</v>
      </c>
      <c r="D13" s="9">
        <v>4328438.12</v>
      </c>
      <c r="E13" s="9">
        <f t="shared" si="0"/>
        <v>57712.508266666671</v>
      </c>
      <c r="F13" s="9">
        <v>0</v>
      </c>
      <c r="G13" s="9">
        <v>71144.13</v>
      </c>
      <c r="H13" s="14" t="s">
        <v>3</v>
      </c>
      <c r="I13" s="1"/>
    </row>
    <row r="14" spans="1:9" ht="26.65" x14ac:dyDescent="0.45">
      <c r="A14" s="1"/>
      <c r="B14" s="60" t="s">
        <v>271</v>
      </c>
      <c r="C14" s="63" t="s">
        <v>267</v>
      </c>
      <c r="D14" s="9">
        <v>101820.99</v>
      </c>
      <c r="E14" s="9">
        <f t="shared" si="0"/>
        <v>1357.6132</v>
      </c>
      <c r="F14" s="9">
        <v>0</v>
      </c>
      <c r="G14" s="9">
        <v>1673.57</v>
      </c>
      <c r="H14" s="14" t="s">
        <v>3</v>
      </c>
      <c r="I14" s="1"/>
    </row>
    <row r="15" spans="1:9" ht="26.65" x14ac:dyDescent="0.45">
      <c r="A15" s="1"/>
      <c r="B15" s="60" t="s">
        <v>272</v>
      </c>
      <c r="C15" s="63" t="s">
        <v>267</v>
      </c>
      <c r="D15" s="9">
        <v>1016026.66</v>
      </c>
      <c r="E15" s="9">
        <f t="shared" si="0"/>
        <v>13547.022133333334</v>
      </c>
      <c r="F15" s="9">
        <v>0</v>
      </c>
      <c r="G15" s="9">
        <v>16699.86</v>
      </c>
      <c r="H15" s="14" t="s">
        <v>3</v>
      </c>
      <c r="I15" s="1"/>
    </row>
    <row r="16" spans="1:9" x14ac:dyDescent="0.45">
      <c r="A16" s="1"/>
      <c r="B16" s="60" t="s">
        <v>266</v>
      </c>
      <c r="C16" s="63" t="s">
        <v>267</v>
      </c>
      <c r="D16" s="9">
        <v>1246077.8600000001</v>
      </c>
      <c r="E16" s="9">
        <f t="shared" si="0"/>
        <v>16614.371466666667</v>
      </c>
      <c r="F16" s="9">
        <v>0</v>
      </c>
      <c r="G16" s="9">
        <v>20481.09</v>
      </c>
      <c r="H16" s="14" t="s">
        <v>3</v>
      </c>
      <c r="I16" s="1"/>
    </row>
    <row r="17" spans="1:9" x14ac:dyDescent="0.45">
      <c r="A17" s="1"/>
      <c r="B17" s="60" t="s">
        <v>273</v>
      </c>
      <c r="C17" s="63" t="s">
        <v>267</v>
      </c>
      <c r="D17" s="9">
        <v>774705.98</v>
      </c>
      <c r="E17" s="9">
        <f t="shared" si="0"/>
        <v>10329.413066666666</v>
      </c>
      <c r="F17" s="9">
        <v>0</v>
      </c>
      <c r="G17" s="9">
        <v>12733.41</v>
      </c>
      <c r="H17" s="14" t="s">
        <v>3</v>
      </c>
      <c r="I17" s="1"/>
    </row>
    <row r="18" spans="1:9" ht="26.65" x14ac:dyDescent="0.45">
      <c r="A18" s="1"/>
      <c r="B18" s="60" t="s">
        <v>269</v>
      </c>
      <c r="C18" s="63" t="s">
        <v>267</v>
      </c>
      <c r="D18" s="9">
        <v>4602282.04</v>
      </c>
      <c r="E18" s="9">
        <f t="shared" si="0"/>
        <v>61363.760533333334</v>
      </c>
      <c r="F18" s="9">
        <v>0</v>
      </c>
      <c r="G18" s="9">
        <v>75645.149999999994</v>
      </c>
      <c r="H18" s="14" t="s">
        <v>3</v>
      </c>
      <c r="I18" s="1"/>
    </row>
    <row r="19" spans="1:9" ht="26.65" x14ac:dyDescent="0.45">
      <c r="A19" s="1"/>
      <c r="B19" s="60" t="s">
        <v>270</v>
      </c>
      <c r="C19" s="63" t="s">
        <v>267</v>
      </c>
      <c r="D19" s="9">
        <v>9928110.0399999991</v>
      </c>
      <c r="E19" s="9">
        <f t="shared" si="0"/>
        <v>132374.80053333333</v>
      </c>
      <c r="F19" s="9">
        <v>0</v>
      </c>
      <c r="G19" s="9">
        <v>163182.81</v>
      </c>
      <c r="H19" s="14" t="s">
        <v>3</v>
      </c>
      <c r="I19" s="1"/>
    </row>
    <row r="20" spans="1:9" ht="26.65" x14ac:dyDescent="0.45">
      <c r="A20" s="1"/>
      <c r="B20" s="60" t="s">
        <v>274</v>
      </c>
      <c r="C20" s="63" t="s">
        <v>267</v>
      </c>
      <c r="D20" s="9">
        <v>4182658.27</v>
      </c>
      <c r="E20" s="9">
        <f t="shared" si="0"/>
        <v>55768.776933333334</v>
      </c>
      <c r="F20" s="9">
        <v>0</v>
      </c>
      <c r="G20" s="9">
        <v>68748.02</v>
      </c>
      <c r="H20" s="14" t="s">
        <v>3</v>
      </c>
      <c r="I20" s="1"/>
    </row>
    <row r="21" spans="1:9" ht="26.65" x14ac:dyDescent="0.45">
      <c r="A21" s="1"/>
      <c r="B21" s="60" t="s">
        <v>271</v>
      </c>
      <c r="C21" s="63" t="s">
        <v>267</v>
      </c>
      <c r="D21" s="9">
        <v>1653000.37</v>
      </c>
      <c r="E21" s="9">
        <f t="shared" si="0"/>
        <v>22040.004933333334</v>
      </c>
      <c r="F21" s="9">
        <v>0</v>
      </c>
      <c r="G21" s="9">
        <v>27169.45</v>
      </c>
      <c r="H21" s="14" t="s">
        <v>3</v>
      </c>
      <c r="I21" s="1"/>
    </row>
    <row r="22" spans="1:9" ht="26.65" x14ac:dyDescent="0.45">
      <c r="A22" s="1"/>
      <c r="B22" s="60" t="s">
        <v>272</v>
      </c>
      <c r="C22" s="63" t="s">
        <v>267</v>
      </c>
      <c r="D22" s="9">
        <v>1106957.77</v>
      </c>
      <c r="E22" s="9">
        <f t="shared" si="0"/>
        <v>14759.436933333334</v>
      </c>
      <c r="F22" s="9">
        <v>0</v>
      </c>
      <c r="G22" s="9">
        <v>18194.45</v>
      </c>
      <c r="H22" s="14" t="s">
        <v>3</v>
      </c>
      <c r="I22" s="1"/>
    </row>
    <row r="23" spans="1:9" x14ac:dyDescent="0.45">
      <c r="A23" s="1"/>
      <c r="B23" s="60" t="s">
        <v>266</v>
      </c>
      <c r="C23" s="63" t="s">
        <v>267</v>
      </c>
      <c r="D23" s="9">
        <v>249035.15</v>
      </c>
      <c r="E23" s="9">
        <f t="shared" si="0"/>
        <v>3320.4686666666666</v>
      </c>
      <c r="F23" s="9">
        <v>0</v>
      </c>
      <c r="G23" s="9">
        <v>7161.9</v>
      </c>
      <c r="H23" s="14" t="s">
        <v>3</v>
      </c>
      <c r="I23" s="1"/>
    </row>
    <row r="24" spans="1:9" x14ac:dyDescent="0.45">
      <c r="A24" s="1"/>
      <c r="B24" s="60" t="s">
        <v>273</v>
      </c>
      <c r="C24" s="63" t="s">
        <v>267</v>
      </c>
      <c r="D24" s="9">
        <v>169773.9</v>
      </c>
      <c r="E24" s="9">
        <f t="shared" si="0"/>
        <v>2263.652</v>
      </c>
      <c r="F24" s="9">
        <v>0</v>
      </c>
      <c r="G24" s="9">
        <v>4882.46</v>
      </c>
      <c r="H24" s="14" t="s">
        <v>3</v>
      </c>
      <c r="I24" s="1"/>
    </row>
    <row r="25" spans="1:9" ht="26.65" x14ac:dyDescent="0.45">
      <c r="A25" s="1"/>
      <c r="B25" s="60" t="s">
        <v>275</v>
      </c>
      <c r="C25" s="63" t="s">
        <v>276</v>
      </c>
      <c r="D25" s="9">
        <v>587467.81999999995</v>
      </c>
      <c r="E25" s="9">
        <f t="shared" si="0"/>
        <v>11749.356399999999</v>
      </c>
      <c r="F25" s="9">
        <v>0</v>
      </c>
      <c r="G25" s="9">
        <v>16894.75</v>
      </c>
      <c r="H25" s="14" t="s">
        <v>3</v>
      </c>
      <c r="I25" s="1"/>
    </row>
    <row r="26" spans="1:9" ht="26.65" x14ac:dyDescent="0.45">
      <c r="A26" s="1"/>
      <c r="B26" s="60" t="s">
        <v>277</v>
      </c>
      <c r="C26" s="63" t="s">
        <v>278</v>
      </c>
      <c r="D26" s="9">
        <v>255420.78</v>
      </c>
      <c r="E26" s="9">
        <f t="shared" si="0"/>
        <v>12771.039000000001</v>
      </c>
      <c r="F26" s="9">
        <v>0</v>
      </c>
      <c r="G26" s="9">
        <v>7345.54</v>
      </c>
      <c r="H26" s="14" t="s">
        <v>3</v>
      </c>
      <c r="I26" s="1"/>
    </row>
    <row r="27" spans="1:9" ht="26.65" x14ac:dyDescent="0.45">
      <c r="A27" s="1"/>
      <c r="B27" s="60" t="s">
        <v>279</v>
      </c>
      <c r="C27" s="63" t="s">
        <v>280</v>
      </c>
      <c r="D27" s="9">
        <v>31927.59</v>
      </c>
      <c r="E27" s="9">
        <f t="shared" si="0"/>
        <v>3192.759</v>
      </c>
      <c r="F27" s="9">
        <v>0</v>
      </c>
      <c r="G27" s="9">
        <v>918.19</v>
      </c>
      <c r="H27" s="14" t="s">
        <v>3</v>
      </c>
      <c r="I27" s="1"/>
    </row>
    <row r="28" spans="1:9" ht="26.65" x14ac:dyDescent="0.45">
      <c r="A28" s="1"/>
      <c r="B28" s="60" t="s">
        <v>269</v>
      </c>
      <c r="C28" s="63" t="s">
        <v>267</v>
      </c>
      <c r="D28" s="9">
        <v>2458608.1800000002</v>
      </c>
      <c r="E28" s="9">
        <f t="shared" si="0"/>
        <v>32781.4424</v>
      </c>
      <c r="F28" s="9">
        <v>0</v>
      </c>
      <c r="G28" s="9">
        <v>70706.14</v>
      </c>
      <c r="H28" s="14" t="s">
        <v>3</v>
      </c>
      <c r="I28" s="1"/>
    </row>
    <row r="29" spans="1:9" ht="26.65" x14ac:dyDescent="0.45">
      <c r="A29" s="1"/>
      <c r="B29" s="60" t="s">
        <v>274</v>
      </c>
      <c r="C29" s="63" t="s">
        <v>267</v>
      </c>
      <c r="D29" s="9">
        <v>919351.35</v>
      </c>
      <c r="E29" s="9">
        <f t="shared" si="0"/>
        <v>12258.018</v>
      </c>
      <c r="F29" s="9">
        <v>0</v>
      </c>
      <c r="G29" s="9">
        <v>26439.26</v>
      </c>
      <c r="H29" s="14" t="s">
        <v>3</v>
      </c>
      <c r="I29" s="1"/>
    </row>
    <row r="30" spans="1:9" ht="26.65" x14ac:dyDescent="0.45">
      <c r="A30" s="1"/>
      <c r="B30" s="60" t="s">
        <v>272</v>
      </c>
      <c r="C30" s="63" t="s">
        <v>267</v>
      </c>
      <c r="D30" s="9">
        <v>419656.36</v>
      </c>
      <c r="E30" s="9">
        <f t="shared" si="0"/>
        <v>5595.4181333333336</v>
      </c>
      <c r="F30" s="9">
        <v>0</v>
      </c>
      <c r="G30" s="9">
        <v>12068.73</v>
      </c>
      <c r="H30" s="14" t="s">
        <v>3</v>
      </c>
      <c r="I30" s="1"/>
    </row>
    <row r="31" spans="1:9" x14ac:dyDescent="0.45">
      <c r="A31" s="1"/>
      <c r="B31" s="60" t="s">
        <v>266</v>
      </c>
      <c r="C31" s="63" t="s">
        <v>267</v>
      </c>
      <c r="D31" s="9">
        <v>263639.25</v>
      </c>
      <c r="E31" s="9">
        <f t="shared" si="0"/>
        <v>3515.19</v>
      </c>
      <c r="F31" s="9">
        <v>0</v>
      </c>
      <c r="G31" s="9">
        <v>7581.9</v>
      </c>
      <c r="H31" s="14" t="s">
        <v>3</v>
      </c>
      <c r="I31" s="1"/>
    </row>
    <row r="32" spans="1:9" x14ac:dyDescent="0.45">
      <c r="A32" s="1"/>
      <c r="B32" s="60" t="s">
        <v>281</v>
      </c>
      <c r="C32" s="63" t="s">
        <v>276</v>
      </c>
      <c r="D32" s="9">
        <v>3976265.95</v>
      </c>
      <c r="E32" s="9">
        <f t="shared" si="0"/>
        <v>79525.319000000003</v>
      </c>
      <c r="F32" s="9">
        <v>0</v>
      </c>
      <c r="G32" s="9">
        <v>114351.86</v>
      </c>
      <c r="H32" s="14" t="s">
        <v>3</v>
      </c>
      <c r="I32" s="1"/>
    </row>
    <row r="33" spans="1:9" x14ac:dyDescent="0.45">
      <c r="A33" s="1"/>
      <c r="B33" s="60" t="s">
        <v>273</v>
      </c>
      <c r="C33" s="63" t="s">
        <v>267</v>
      </c>
      <c r="D33" s="9">
        <v>479386.31</v>
      </c>
      <c r="E33" s="9">
        <f t="shared" si="0"/>
        <v>6391.8174666666664</v>
      </c>
      <c r="F33" s="9">
        <v>0</v>
      </c>
      <c r="G33" s="9">
        <v>13786.48</v>
      </c>
      <c r="H33" s="14" t="s">
        <v>3</v>
      </c>
      <c r="I33" s="1"/>
    </row>
    <row r="34" spans="1:9" ht="26.65" x14ac:dyDescent="0.45">
      <c r="A34" s="1"/>
      <c r="B34" s="60" t="s">
        <v>269</v>
      </c>
      <c r="C34" s="63" t="s">
        <v>267</v>
      </c>
      <c r="D34" s="9">
        <v>652079.49</v>
      </c>
      <c r="E34" s="9">
        <f t="shared" si="0"/>
        <v>8694.3932000000004</v>
      </c>
      <c r="F34" s="9">
        <v>0</v>
      </c>
      <c r="G34" s="9">
        <v>18752.900000000001</v>
      </c>
      <c r="H34" s="14" t="s">
        <v>3</v>
      </c>
      <c r="I34" s="1"/>
    </row>
    <row r="35" spans="1:9" ht="26.65" x14ac:dyDescent="0.45">
      <c r="A35" s="1"/>
      <c r="B35" s="60" t="s">
        <v>274</v>
      </c>
      <c r="C35" s="63" t="s">
        <v>267</v>
      </c>
      <c r="D35" s="9">
        <v>235600.12</v>
      </c>
      <c r="E35" s="9">
        <f t="shared" si="0"/>
        <v>3141.3349333333331</v>
      </c>
      <c r="F35" s="9">
        <v>0</v>
      </c>
      <c r="G35" s="9">
        <v>6775.53</v>
      </c>
      <c r="H35" s="14" t="s">
        <v>3</v>
      </c>
      <c r="I35" s="1"/>
    </row>
    <row r="36" spans="1:9" ht="26.65" x14ac:dyDescent="0.45">
      <c r="A36" s="1"/>
      <c r="B36" s="60" t="s">
        <v>271</v>
      </c>
      <c r="C36" s="63" t="s">
        <v>267</v>
      </c>
      <c r="D36" s="9">
        <v>730404.93</v>
      </c>
      <c r="E36" s="9">
        <f t="shared" si="0"/>
        <v>9738.7324000000008</v>
      </c>
      <c r="F36" s="9">
        <v>0</v>
      </c>
      <c r="G36" s="9">
        <v>21005.43</v>
      </c>
      <c r="H36" s="14" t="s">
        <v>3</v>
      </c>
      <c r="I36" s="1"/>
    </row>
    <row r="37" spans="1:9" x14ac:dyDescent="0.45">
      <c r="A37" s="1"/>
      <c r="B37" s="60" t="s">
        <v>266</v>
      </c>
      <c r="C37" s="63" t="s">
        <v>267</v>
      </c>
      <c r="D37" s="9">
        <v>616443.52</v>
      </c>
      <c r="E37" s="9">
        <f t="shared" si="0"/>
        <v>8219.2469333333338</v>
      </c>
      <c r="F37" s="9">
        <v>0</v>
      </c>
      <c r="G37" s="9">
        <v>17728.05</v>
      </c>
      <c r="H37" s="14" t="s">
        <v>3</v>
      </c>
      <c r="I37" s="1"/>
    </row>
    <row r="38" spans="1:9" x14ac:dyDescent="0.45">
      <c r="A38" s="1"/>
      <c r="B38" s="60" t="s">
        <v>282</v>
      </c>
      <c r="C38" s="63" t="s">
        <v>276</v>
      </c>
      <c r="D38" s="9">
        <v>1463908.49</v>
      </c>
      <c r="E38" s="9">
        <f t="shared" si="0"/>
        <v>29278.1698</v>
      </c>
      <c r="F38" s="9">
        <v>0</v>
      </c>
      <c r="G38" s="9">
        <v>42099.96</v>
      </c>
      <c r="H38" s="14" t="s">
        <v>3</v>
      </c>
      <c r="I38" s="1"/>
    </row>
    <row r="39" spans="1:9" ht="26.65" x14ac:dyDescent="0.45">
      <c r="A39" s="1"/>
      <c r="B39" s="60" t="s">
        <v>283</v>
      </c>
      <c r="C39" s="63" t="s">
        <v>276</v>
      </c>
      <c r="D39" s="9">
        <v>297717.31</v>
      </c>
      <c r="E39" s="9">
        <f t="shared" si="0"/>
        <v>5954.3462</v>
      </c>
      <c r="F39" s="9">
        <v>0</v>
      </c>
      <c r="G39" s="9">
        <v>8561.93</v>
      </c>
      <c r="H39" s="14" t="s">
        <v>3</v>
      </c>
      <c r="I39" s="1"/>
    </row>
    <row r="40" spans="1:9" ht="26.65" x14ac:dyDescent="0.45">
      <c r="A40" s="1"/>
      <c r="B40" s="60" t="s">
        <v>284</v>
      </c>
      <c r="C40" s="63" t="s">
        <v>276</v>
      </c>
      <c r="D40" s="9">
        <v>677574.86</v>
      </c>
      <c r="E40" s="9">
        <f t="shared" si="0"/>
        <v>13551.4972</v>
      </c>
      <c r="F40" s="9">
        <v>0</v>
      </c>
      <c r="G40" s="9">
        <v>19486.11</v>
      </c>
      <c r="H40" s="14" t="s">
        <v>3</v>
      </c>
      <c r="I40" s="1"/>
    </row>
    <row r="41" spans="1:9" x14ac:dyDescent="0.45">
      <c r="A41" s="1"/>
      <c r="B41" s="60" t="s">
        <v>266</v>
      </c>
      <c r="C41" s="63" t="s">
        <v>267</v>
      </c>
      <c r="D41" s="9">
        <v>491458.88</v>
      </c>
      <c r="E41" s="9">
        <f t="shared" si="0"/>
        <v>6552.7850666666664</v>
      </c>
      <c r="F41" s="9">
        <v>0</v>
      </c>
      <c r="G41" s="9">
        <v>14133.67</v>
      </c>
      <c r="H41" s="14" t="s">
        <v>3</v>
      </c>
      <c r="I41" s="1"/>
    </row>
    <row r="42" spans="1:9" x14ac:dyDescent="0.45">
      <c r="A42" s="1"/>
      <c r="B42" s="60" t="s">
        <v>282</v>
      </c>
      <c r="C42" s="63" t="s">
        <v>276</v>
      </c>
      <c r="D42" s="9">
        <v>397301.32</v>
      </c>
      <c r="E42" s="9">
        <f t="shared" si="0"/>
        <v>7946.0263999999997</v>
      </c>
      <c r="F42" s="9">
        <v>0</v>
      </c>
      <c r="G42" s="9">
        <v>11425.83</v>
      </c>
      <c r="H42" s="14" t="s">
        <v>3</v>
      </c>
      <c r="I42" s="1"/>
    </row>
    <row r="43" spans="1:9" ht="26.65" x14ac:dyDescent="0.45">
      <c r="A43" s="1"/>
      <c r="B43" s="60" t="s">
        <v>284</v>
      </c>
      <c r="C43" s="63" t="s">
        <v>276</v>
      </c>
      <c r="D43" s="9">
        <v>17581.55</v>
      </c>
      <c r="E43" s="9">
        <f t="shared" si="0"/>
        <v>351.63099999999997</v>
      </c>
      <c r="F43" s="9">
        <v>0</v>
      </c>
      <c r="G43" s="9">
        <v>505.62</v>
      </c>
      <c r="H43" s="14" t="s">
        <v>3</v>
      </c>
      <c r="I43" s="1"/>
    </row>
    <row r="44" spans="1:9" ht="26.65" x14ac:dyDescent="0.45">
      <c r="A44" s="1"/>
      <c r="B44" s="60" t="s">
        <v>285</v>
      </c>
      <c r="C44" s="63" t="s">
        <v>276</v>
      </c>
      <c r="D44" s="9">
        <v>1501192.55</v>
      </c>
      <c r="E44" s="9">
        <f t="shared" si="0"/>
        <v>30023.851000000002</v>
      </c>
      <c r="F44" s="9">
        <v>0</v>
      </c>
      <c r="G44" s="9">
        <v>43172.2</v>
      </c>
      <c r="H44" s="14" t="s">
        <v>3</v>
      </c>
      <c r="I44" s="1"/>
    </row>
    <row r="45" spans="1:9" ht="26.65" x14ac:dyDescent="0.45">
      <c r="A45" s="1"/>
      <c r="B45" s="60" t="s">
        <v>286</v>
      </c>
      <c r="C45" s="63" t="s">
        <v>276</v>
      </c>
      <c r="D45" s="9">
        <v>1058549.6200000001</v>
      </c>
      <c r="E45" s="9">
        <f t="shared" si="0"/>
        <v>21170.992400000003</v>
      </c>
      <c r="F45" s="9">
        <v>0</v>
      </c>
      <c r="G45" s="9">
        <v>30442.41</v>
      </c>
      <c r="H45" s="14" t="s">
        <v>3</v>
      </c>
      <c r="I45" s="1"/>
    </row>
    <row r="46" spans="1:9" x14ac:dyDescent="0.45">
      <c r="A46" s="1"/>
      <c r="B46" s="107" t="s">
        <v>157</v>
      </c>
      <c r="C46" s="108"/>
      <c r="D46" s="109"/>
      <c r="E46" s="12">
        <f>SUM(E10:E45)</f>
        <v>849371.40406666661</v>
      </c>
      <c r="F46" s="12">
        <f>SUM(F10:F45)</f>
        <v>0</v>
      </c>
      <c r="G46" s="12">
        <f>SUM(G10:G45)</f>
        <v>1171281.46</v>
      </c>
      <c r="H46" s="13" t="s">
        <v>3</v>
      </c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4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4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4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4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4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4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45">
      <c r="A76" s="1"/>
      <c r="B76" s="1"/>
      <c r="C76" s="1"/>
      <c r="D76" s="1"/>
      <c r="E76" s="1"/>
      <c r="F76" s="1"/>
      <c r="G76" s="1"/>
      <c r="H76" s="1"/>
      <c r="I76" s="1"/>
    </row>
  </sheetData>
  <sheetProtection algorithmName="SHA-512" hashValue="DM9BY+Bd+z+SSHBKdntkesy+8DZSYa+UHfMX4mFi8odiAdl4wG3aJ/dmqTUSIpdS2p1WVkyMEexSkKVTjE1quQ==" saltValue="8CV5lXpMAkUH9Oo9vmS1Nw==" spinCount="100000" sheet="1" objects="1" scenarios="1"/>
  <mergeCells count="3">
    <mergeCell ref="B3:H4"/>
    <mergeCell ref="B46:D4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118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72</v>
      </c>
      <c r="C8" s="37"/>
      <c r="D8" s="37"/>
      <c r="E8" s="37"/>
      <c r="F8" s="20"/>
      <c r="G8" s="1"/>
    </row>
    <row r="9" spans="1:7" ht="17.25" customHeight="1" x14ac:dyDescent="0.4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45">
      <c r="A10" s="1"/>
      <c r="B10" s="25" t="s">
        <v>158</v>
      </c>
      <c r="C10" s="22">
        <f>'Fane 9. Anlægsprojekter'!F46</f>
        <v>0</v>
      </c>
      <c r="D10" s="14" t="s">
        <v>3</v>
      </c>
      <c r="E10" s="9">
        <f>SUM('Fane 9. Anlægsprojekter'!E46,'Fane 9. Anlægsprojekter'!G46)</f>
        <v>2020652.8640666665</v>
      </c>
      <c r="F10" s="14" t="s">
        <v>3</v>
      </c>
      <c r="G10" s="1"/>
    </row>
    <row r="11" spans="1:7" x14ac:dyDescent="0.45">
      <c r="A11" s="1"/>
      <c r="B11" s="64" t="s">
        <v>305</v>
      </c>
      <c r="C11" s="22">
        <v>0</v>
      </c>
      <c r="D11" s="14" t="s">
        <v>3</v>
      </c>
      <c r="E11" s="9">
        <v>715295</v>
      </c>
      <c r="F11" s="14" t="s">
        <v>3</v>
      </c>
      <c r="G11" s="1"/>
    </row>
    <row r="12" spans="1:7" x14ac:dyDescent="0.45">
      <c r="A12" s="1"/>
      <c r="B12" s="25" t="s">
        <v>306</v>
      </c>
      <c r="C12" s="22">
        <v>297828</v>
      </c>
      <c r="D12" s="14" t="s">
        <v>3</v>
      </c>
      <c r="E12" s="9">
        <v>1801335</v>
      </c>
      <c r="F12" s="14" t="s">
        <v>3</v>
      </c>
      <c r="G12" s="1"/>
    </row>
    <row r="13" spans="1:7" x14ac:dyDescent="0.45">
      <c r="A13" s="1"/>
      <c r="B13" s="36" t="s">
        <v>142</v>
      </c>
      <c r="C13" s="12">
        <f>SUM(C10:C12)</f>
        <v>297828</v>
      </c>
      <c r="D13" s="13" t="s">
        <v>3</v>
      </c>
      <c r="E13" s="12">
        <f>SUM(E10:E12)</f>
        <v>4537282.864066666</v>
      </c>
      <c r="F13" s="13" t="s">
        <v>3</v>
      </c>
      <c r="G13" s="1"/>
    </row>
    <row r="14" spans="1:7" x14ac:dyDescent="0.45">
      <c r="A14" s="1"/>
      <c r="B14" s="36" t="s">
        <v>209</v>
      </c>
      <c r="C14" s="12">
        <f>C13*(1+'Fane 14. Nøgletal'!C14)</f>
        <v>298810.83240000001</v>
      </c>
      <c r="D14" s="13" t="s">
        <v>3</v>
      </c>
      <c r="E14" s="12">
        <f>E13*(1+'Fane 14. Nøgletal'!C14)</f>
        <v>4552255.8975180862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GzIIsEa8OD8ARvWEA5p2QRg7KgiutgKNP/b25tugI85y5wghkVjPRy3+QUS5UvqsHV+qWFRmlYl0Ki/ireReQg==" saltValue="Fyd1EB4abii642s450Jdg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117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7" t="s">
        <v>96</v>
      </c>
      <c r="C8" s="108"/>
      <c r="D8" s="108"/>
      <c r="E8" s="108"/>
      <c r="F8" s="109"/>
      <c r="G8" s="1"/>
    </row>
    <row r="9" spans="1:7" x14ac:dyDescent="0.4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45">
      <c r="A10" s="1"/>
      <c r="B10" s="25" t="s">
        <v>307</v>
      </c>
      <c r="C10" s="22">
        <v>0</v>
      </c>
      <c r="D10" s="14" t="s">
        <v>3</v>
      </c>
      <c r="E10" s="22">
        <v>0</v>
      </c>
      <c r="F10" s="14" t="s">
        <v>3</v>
      </c>
      <c r="G10" s="1"/>
    </row>
    <row r="11" spans="1:7" x14ac:dyDescent="0.45">
      <c r="A11" s="1"/>
      <c r="B11" s="36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98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6" t="s">
        <v>143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7" t="s">
        <v>97</v>
      </c>
      <c r="C16" s="108"/>
      <c r="D16" s="108"/>
      <c r="E16" s="108"/>
      <c r="F16" s="109"/>
      <c r="G16" s="1"/>
    </row>
    <row r="17" spans="1:7" x14ac:dyDescent="0.45">
      <c r="A17" s="1"/>
      <c r="B17" s="40" t="s">
        <v>18</v>
      </c>
      <c r="C17" s="40" t="s">
        <v>12</v>
      </c>
      <c r="D17" s="41"/>
      <c r="E17" s="40" t="s">
        <v>34</v>
      </c>
      <c r="F17" s="62"/>
      <c r="G17" s="1"/>
    </row>
    <row r="18" spans="1:7" x14ac:dyDescent="0.45">
      <c r="A18" s="1"/>
      <c r="B18" s="25" t="s">
        <v>307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45">
      <c r="A19" s="1"/>
      <c r="B19" s="36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6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7" t="s">
        <v>144</v>
      </c>
      <c r="C24" s="108"/>
      <c r="D24" s="108"/>
      <c r="E24" s="108"/>
      <c r="F24" s="109"/>
      <c r="G24" s="1"/>
    </row>
    <row r="25" spans="1:7" x14ac:dyDescent="0.45">
      <c r="A25" s="1"/>
      <c r="B25" s="40" t="s">
        <v>18</v>
      </c>
      <c r="C25" s="40" t="s">
        <v>12</v>
      </c>
      <c r="D25" s="41"/>
      <c r="E25" s="40" t="s">
        <v>34</v>
      </c>
      <c r="F25" s="62"/>
      <c r="G25" s="1"/>
    </row>
    <row r="26" spans="1:7" x14ac:dyDescent="0.45">
      <c r="A26" s="1"/>
      <c r="B26" s="25" t="s">
        <v>307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45">
      <c r="A27" s="1"/>
      <c r="B27" s="36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6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7" t="s">
        <v>212</v>
      </c>
      <c r="C32" s="108"/>
      <c r="D32" s="108"/>
      <c r="E32" s="108"/>
      <c r="F32" s="109"/>
      <c r="G32" s="1"/>
    </row>
    <row r="33" spans="1:7" x14ac:dyDescent="0.45">
      <c r="A33" s="1"/>
      <c r="B33" s="40" t="s">
        <v>18</v>
      </c>
      <c r="C33" s="40" t="s">
        <v>12</v>
      </c>
      <c r="D33" s="41"/>
      <c r="E33" s="40" t="s">
        <v>34</v>
      </c>
      <c r="F33" s="62"/>
      <c r="G33" s="1"/>
    </row>
    <row r="34" spans="1:7" x14ac:dyDescent="0.45">
      <c r="A34" s="1"/>
      <c r="B34" s="25" t="s">
        <v>307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45">
      <c r="A35" s="1"/>
      <c r="B35" s="36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6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G4w55TwuFHoVtkpeuAsEjhcaJubmweOoUPDgyZQLz9y9SvBy3H0qayWF0iKXRlClMUbOK8vUnmK3J34+rU3Zw==" saltValue="pnyY174+YK7Z+Ci/s2k2c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127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03"/>
      <c r="C5" s="103"/>
      <c r="D5" s="103"/>
      <c r="E5" s="103"/>
      <c r="F5" s="10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7" t="s">
        <v>87</v>
      </c>
      <c r="C8" s="108"/>
      <c r="D8" s="108"/>
      <c r="E8" s="108"/>
      <c r="F8" s="109"/>
      <c r="G8" s="1"/>
    </row>
    <row r="9" spans="1:7" x14ac:dyDescent="0.45">
      <c r="A9" s="1"/>
      <c r="B9" s="128" t="s">
        <v>215</v>
      </c>
      <c r="C9" s="129"/>
      <c r="D9" s="130"/>
      <c r="E9" s="9">
        <v>0</v>
      </c>
      <c r="F9" s="14" t="s">
        <v>3</v>
      </c>
      <c r="G9" s="1"/>
    </row>
    <row r="10" spans="1:7" x14ac:dyDescent="0.45">
      <c r="A10" s="1"/>
      <c r="B10" s="100" t="s">
        <v>10</v>
      </c>
      <c r="C10" s="101"/>
      <c r="D10" s="102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100" t="s">
        <v>27</v>
      </c>
      <c r="C11" s="101"/>
      <c r="D11" s="102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107" t="s">
        <v>89</v>
      </c>
      <c r="C12" s="108"/>
      <c r="D12" s="109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7" t="s">
        <v>88</v>
      </c>
      <c r="C14" s="108"/>
      <c r="D14" s="108"/>
      <c r="E14" s="108"/>
      <c r="F14" s="109"/>
      <c r="G14" s="1"/>
    </row>
    <row r="15" spans="1:7" x14ac:dyDescent="0.45">
      <c r="A15" s="1"/>
      <c r="B15" s="128" t="s">
        <v>215</v>
      </c>
      <c r="C15" s="129"/>
      <c r="D15" s="130"/>
      <c r="E15" s="9">
        <v>0</v>
      </c>
      <c r="F15" s="14" t="s">
        <v>3</v>
      </c>
      <c r="G15" s="1"/>
    </row>
    <row r="16" spans="1:7" x14ac:dyDescent="0.45">
      <c r="A16" s="1"/>
      <c r="B16" s="100" t="s">
        <v>10</v>
      </c>
      <c r="C16" s="101"/>
      <c r="D16" s="102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100" t="s">
        <v>27</v>
      </c>
      <c r="C17" s="101"/>
      <c r="D17" s="102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107" t="s">
        <v>90</v>
      </c>
      <c r="C18" s="108"/>
      <c r="D18" s="109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7" t="s">
        <v>145</v>
      </c>
      <c r="C20" s="108"/>
      <c r="D20" s="108"/>
      <c r="E20" s="108"/>
      <c r="F20" s="109"/>
      <c r="G20" s="1"/>
    </row>
    <row r="21" spans="1:7" x14ac:dyDescent="0.45">
      <c r="A21" s="1"/>
      <c r="B21" s="128" t="s">
        <v>215</v>
      </c>
      <c r="C21" s="129"/>
      <c r="D21" s="130"/>
      <c r="E21" s="9">
        <v>0</v>
      </c>
      <c r="F21" s="14" t="s">
        <v>3</v>
      </c>
      <c r="G21" s="1"/>
    </row>
    <row r="22" spans="1:7" x14ac:dyDescent="0.45">
      <c r="A22" s="1"/>
      <c r="B22" s="100" t="s">
        <v>10</v>
      </c>
      <c r="C22" s="101"/>
      <c r="D22" s="102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100" t="s">
        <v>27</v>
      </c>
      <c r="C23" s="101"/>
      <c r="D23" s="102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107" t="s">
        <v>146</v>
      </c>
      <c r="C24" s="108"/>
      <c r="D24" s="109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7" t="s">
        <v>216</v>
      </c>
      <c r="C26" s="108"/>
      <c r="D26" s="108"/>
      <c r="E26" s="108"/>
      <c r="F26" s="109"/>
      <c r="G26" s="1"/>
    </row>
    <row r="27" spans="1:7" x14ac:dyDescent="0.45">
      <c r="A27" s="1"/>
      <c r="B27" s="128" t="s">
        <v>215</v>
      </c>
      <c r="C27" s="129"/>
      <c r="D27" s="130"/>
      <c r="E27" s="9">
        <v>0</v>
      </c>
      <c r="F27" s="14" t="s">
        <v>3</v>
      </c>
      <c r="G27" s="1"/>
    </row>
    <row r="28" spans="1:7" x14ac:dyDescent="0.45">
      <c r="A28" s="1"/>
      <c r="B28" s="100" t="s">
        <v>10</v>
      </c>
      <c r="C28" s="101"/>
      <c r="D28" s="102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100" t="s">
        <v>27</v>
      </c>
      <c r="C29" s="101"/>
      <c r="D29" s="102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107" t="s">
        <v>217</v>
      </c>
      <c r="C30" s="108"/>
      <c r="D30" s="109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faknTB8HOu3vNKVYq70S7kNibCFhVIe9l1PWfVEkIP47yx3bqClx4vnEZflZuRoq4unv1614eAURHgXWbvFYtg==" saltValue="jleIzYhcJS7bQfCwP2nqug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4" style="2" customWidth="1"/>
    <col min="4" max="4" width="3.265625" style="2" customWidth="1"/>
    <col min="5" max="5" width="14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147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7" t="s">
        <v>148</v>
      </c>
      <c r="C8" s="108"/>
      <c r="D8" s="108"/>
      <c r="E8" s="108"/>
      <c r="F8" s="109"/>
      <c r="G8" s="1"/>
    </row>
    <row r="9" spans="1:7" ht="15" customHeight="1" x14ac:dyDescent="0.45">
      <c r="A9" s="1"/>
      <c r="B9" s="61" t="s">
        <v>149</v>
      </c>
      <c r="C9" s="88" t="s">
        <v>12</v>
      </c>
      <c r="D9" s="90"/>
      <c r="E9" s="131" t="s">
        <v>34</v>
      </c>
      <c r="F9" s="132"/>
      <c r="G9" s="1"/>
    </row>
    <row r="10" spans="1:7" x14ac:dyDescent="0.45">
      <c r="A10" s="1"/>
      <c r="B10" s="25" t="s">
        <v>287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m0ldwpkg5W1/uO26zCnCXxhUFpr0jfCPlaX0gLCshQjzuVi3RqOFeB48mCgZLwu+JrHIC//+rSTz7hThzTjcIA==" saltValue="2rQ1UMBxWEvMuDPDrVjXS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116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7" t="s">
        <v>91</v>
      </c>
      <c r="C8" s="108"/>
      <c r="D8" s="108"/>
      <c r="E8" s="108"/>
      <c r="F8" s="109"/>
      <c r="G8" s="1"/>
    </row>
    <row r="9" spans="1:7" ht="15" customHeight="1" x14ac:dyDescent="0.45">
      <c r="A9" s="1"/>
      <c r="B9" s="61" t="s">
        <v>19</v>
      </c>
      <c r="C9" s="61" t="s">
        <v>12</v>
      </c>
      <c r="D9" s="62"/>
      <c r="E9" s="61" t="s">
        <v>34</v>
      </c>
      <c r="F9" s="62"/>
      <c r="G9" s="1"/>
    </row>
    <row r="10" spans="1:7" x14ac:dyDescent="0.45">
      <c r="A10" s="1"/>
      <c r="B10" s="25" t="s">
        <v>292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6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6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7" t="s">
        <v>92</v>
      </c>
      <c r="C14" s="108"/>
      <c r="D14" s="108"/>
      <c r="E14" s="108"/>
      <c r="F14" s="109"/>
      <c r="G14" s="1"/>
    </row>
    <row r="15" spans="1:7" x14ac:dyDescent="0.45">
      <c r="A15" s="1"/>
      <c r="B15" s="61" t="s">
        <v>19</v>
      </c>
      <c r="C15" s="61" t="s">
        <v>12</v>
      </c>
      <c r="D15" s="62"/>
      <c r="E15" s="61" t="s">
        <v>34</v>
      </c>
      <c r="F15" s="62"/>
      <c r="G15" s="1"/>
    </row>
    <row r="16" spans="1:7" x14ac:dyDescent="0.45">
      <c r="A16" s="1"/>
      <c r="B16" s="25" t="s">
        <v>292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6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6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7" t="s">
        <v>151</v>
      </c>
      <c r="C20" s="108"/>
      <c r="D20" s="108"/>
      <c r="E20" s="108"/>
      <c r="F20" s="109"/>
      <c r="G20" s="1"/>
    </row>
    <row r="21" spans="1:7" x14ac:dyDescent="0.45">
      <c r="A21" s="1"/>
      <c r="B21" s="61" t="s">
        <v>19</v>
      </c>
      <c r="C21" s="61" t="s">
        <v>12</v>
      </c>
      <c r="D21" s="62"/>
      <c r="E21" s="61" t="s">
        <v>34</v>
      </c>
      <c r="F21" s="62"/>
      <c r="G21" s="1"/>
    </row>
    <row r="22" spans="1:7" x14ac:dyDescent="0.45">
      <c r="A22" s="1"/>
      <c r="B22" s="25" t="s">
        <v>292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6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6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7" t="s">
        <v>219</v>
      </c>
      <c r="C26" s="108"/>
      <c r="D26" s="108"/>
      <c r="E26" s="108"/>
      <c r="F26" s="109"/>
      <c r="G26" s="1"/>
    </row>
    <row r="27" spans="1:7" x14ac:dyDescent="0.45">
      <c r="A27" s="1"/>
      <c r="B27" s="61" t="s">
        <v>19</v>
      </c>
      <c r="C27" s="61" t="s">
        <v>12</v>
      </c>
      <c r="D27" s="62"/>
      <c r="E27" s="61" t="s">
        <v>34</v>
      </c>
      <c r="F27" s="62"/>
      <c r="G27" s="1"/>
    </row>
    <row r="28" spans="1:7" x14ac:dyDescent="0.45">
      <c r="A28" s="1"/>
      <c r="B28" s="25" t="s">
        <v>292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6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6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3GT5IlfNBc/uO0PrBwZqPsXzmF6zXEG72aj63Fg9IQT7/U+Fha9QqdaZ48gU2AZUYS6Ws9icMpWICAEUirgqoA==" saltValue="clAd5c7N5Sq2iFy/Zx79q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60.2656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3" t="s">
        <v>173</v>
      </c>
      <c r="C3" s="103"/>
      <c r="D3" s="1"/>
    </row>
    <row r="4" spans="1:4" ht="25.5" customHeight="1" x14ac:dyDescent="0.45">
      <c r="A4" s="1"/>
      <c r="B4" s="103"/>
      <c r="C4" s="10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6" t="s">
        <v>15</v>
      </c>
      <c r="C8" s="20"/>
      <c r="D8" s="1"/>
    </row>
    <row r="9" spans="1:4" x14ac:dyDescent="0.45">
      <c r="A9" s="1"/>
      <c r="B9" s="58" t="s">
        <v>264</v>
      </c>
      <c r="C9" s="26">
        <v>1.2699999999999999E-2</v>
      </c>
      <c r="D9" s="1"/>
    </row>
    <row r="10" spans="1:4" x14ac:dyDescent="0.45">
      <c r="A10" s="1"/>
      <c r="B10" s="58" t="s">
        <v>122</v>
      </c>
      <c r="C10" s="26">
        <v>1.7500000000000002E-2</v>
      </c>
      <c r="D10" s="1"/>
    </row>
    <row r="11" spans="1:4" x14ac:dyDescent="0.45">
      <c r="A11" s="1"/>
      <c r="B11" s="58" t="s">
        <v>24</v>
      </c>
      <c r="C11" s="26">
        <v>1.6899999999999998E-2</v>
      </c>
      <c r="D11" s="1"/>
    </row>
    <row r="12" spans="1:4" x14ac:dyDescent="0.45">
      <c r="A12" s="1"/>
      <c r="B12" s="31" t="s">
        <v>45</v>
      </c>
      <c r="C12" s="26">
        <v>1.9699999999999999E-2</v>
      </c>
      <c r="D12" s="1"/>
    </row>
    <row r="13" spans="1:4" x14ac:dyDescent="0.45">
      <c r="A13" s="1"/>
      <c r="B13" s="31" t="s">
        <v>153</v>
      </c>
      <c r="C13" s="32">
        <v>1.2200000000000001E-2</v>
      </c>
      <c r="D13" s="1"/>
    </row>
    <row r="14" spans="1:4" x14ac:dyDescent="0.45">
      <c r="A14" s="1"/>
      <c r="B14" s="31" t="s">
        <v>304</v>
      </c>
      <c r="C14" s="32">
        <v>3.3E-3</v>
      </c>
      <c r="D14" s="1"/>
    </row>
    <row r="15" spans="1:4" x14ac:dyDescent="0.45">
      <c r="A15" s="1"/>
      <c r="B15" s="36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6" t="s">
        <v>107</v>
      </c>
      <c r="C18" s="20"/>
      <c r="D18" s="1"/>
    </row>
    <row r="19" spans="1:4" x14ac:dyDescent="0.45">
      <c r="A19" s="1"/>
      <c r="B19" s="58" t="s">
        <v>265</v>
      </c>
      <c r="C19" s="23">
        <v>9.1000000000000004E-3</v>
      </c>
      <c r="D19" s="1"/>
    </row>
    <row r="20" spans="1:4" x14ac:dyDescent="0.45">
      <c r="A20" s="1"/>
      <c r="B20" s="58" t="s">
        <v>124</v>
      </c>
      <c r="C20" s="23">
        <v>1.77E-2</v>
      </c>
      <c r="D20" s="1"/>
    </row>
    <row r="21" spans="1:4" x14ac:dyDescent="0.45">
      <c r="A21" s="1"/>
      <c r="B21" s="58" t="s">
        <v>123</v>
      </c>
      <c r="C21" s="23">
        <v>8.6999999999999994E-3</v>
      </c>
      <c r="D21" s="1"/>
    </row>
    <row r="22" spans="1:4" x14ac:dyDescent="0.45">
      <c r="A22" s="1"/>
      <c r="B22" s="58" t="s">
        <v>125</v>
      </c>
      <c r="C22" s="23">
        <v>2.8400000000000002E-2</v>
      </c>
      <c r="D22" s="1"/>
    </row>
    <row r="23" spans="1:4" x14ac:dyDescent="0.45">
      <c r="A23" s="1"/>
      <c r="B23" s="58" t="s">
        <v>154</v>
      </c>
      <c r="C23" s="33">
        <v>2.75E-2</v>
      </c>
      <c r="D23" s="1"/>
    </row>
    <row r="24" spans="1:4" x14ac:dyDescent="0.45">
      <c r="A24" s="1"/>
      <c r="B24" s="58" t="s">
        <v>221</v>
      </c>
      <c r="C24" s="33">
        <v>1.4800000000000001E-2</v>
      </c>
      <c r="D24" s="1"/>
    </row>
    <row r="25" spans="1:4" x14ac:dyDescent="0.45">
      <c r="A25" s="1"/>
      <c r="B25" s="36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6" t="s">
        <v>106</v>
      </c>
      <c r="C28" s="20"/>
      <c r="D28" s="1"/>
    </row>
    <row r="29" spans="1:4" x14ac:dyDescent="0.45">
      <c r="A29" s="1"/>
      <c r="B29" s="58" t="s">
        <v>126</v>
      </c>
      <c r="C29" s="26">
        <v>0.02</v>
      </c>
      <c r="D29" s="1"/>
    </row>
    <row r="30" spans="1:4" x14ac:dyDescent="0.45">
      <c r="A30" s="1"/>
      <c r="B30" s="36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vtJaBPcxxQX4tlvBdqwzBjmjBTNw1pKi04c9x4OKsN0bfQz7xxHfIggkZ9j31yiNihXGz6g+hKOnnmdku3qulg==" saltValue="FE6d8KzeBfwqPUPD5KSYX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7.73046875" style="2" customWidth="1"/>
    <col min="3" max="3" width="12.26562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3" t="s">
        <v>181</v>
      </c>
      <c r="C3" s="83"/>
      <c r="D3" s="83"/>
      <c r="E3" s="1"/>
    </row>
    <row r="4" spans="1:5" ht="15" customHeight="1" x14ac:dyDescent="0.45">
      <c r="A4" s="1"/>
      <c r="B4" s="83"/>
      <c r="C4" s="83"/>
      <c r="D4" s="8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6" t="s">
        <v>14</v>
      </c>
      <c r="C8" s="37"/>
      <c r="D8" s="20"/>
      <c r="E8" s="1"/>
    </row>
    <row r="9" spans="1:5" x14ac:dyDescent="0.45">
      <c r="A9" s="1"/>
      <c r="B9" s="51" t="s">
        <v>26</v>
      </c>
      <c r="C9" s="7">
        <f>'Fane 3. Omkostninger i ØR2021'!E24</f>
        <v>110382195.27340128</v>
      </c>
      <c r="D9" s="8" t="s">
        <v>3</v>
      </c>
      <c r="E9" s="1"/>
    </row>
    <row r="10" spans="1:5" ht="17.100000000000001" customHeight="1" x14ac:dyDescent="0.45">
      <c r="A10" s="1"/>
      <c r="B10" s="49" t="s">
        <v>43</v>
      </c>
      <c r="C10" s="7">
        <f>'Fane 10.1. Varige tillæg'!C14</f>
        <v>298810.83240000001</v>
      </c>
      <c r="D10" s="8" t="s">
        <v>3</v>
      </c>
      <c r="E10" s="1"/>
    </row>
    <row r="11" spans="1:5" ht="17.100000000000001" customHeight="1" x14ac:dyDescent="0.45">
      <c r="A11" s="1"/>
      <c r="B11" s="49" t="s">
        <v>44</v>
      </c>
      <c r="C11" s="9">
        <f>'Fane 10.1. Varige tillæg'!E14</f>
        <v>4552255.8975180862</v>
      </c>
      <c r="D11" s="8" t="s">
        <v>3</v>
      </c>
      <c r="E11" s="1"/>
    </row>
    <row r="12" spans="1:5" ht="17.100000000000001" customHeight="1" x14ac:dyDescent="0.45">
      <c r="A12" s="1"/>
      <c r="B12" s="49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49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9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9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9" t="s">
        <v>20</v>
      </c>
      <c r="C16" s="9">
        <f>SUM(C9:C15)*'Fane 14. Nøgletal'!C14</f>
        <v>380269.76461095386</v>
      </c>
      <c r="D16" s="8" t="s">
        <v>3</v>
      </c>
      <c r="E16" s="1"/>
    </row>
    <row r="17" spans="1:5" ht="17.100000000000001" customHeight="1" x14ac:dyDescent="0.45">
      <c r="A17" s="1"/>
      <c r="B17" s="49" t="s">
        <v>10</v>
      </c>
      <c r="C17" s="9">
        <f>-SUM(C9,C10:C16)*'Fane 5. Individuelt eff. krav'!G11</f>
        <v>-770399.70278522908</v>
      </c>
      <c r="D17" s="8" t="s">
        <v>3</v>
      </c>
      <c r="E17" s="1"/>
    </row>
    <row r="18" spans="1:5" ht="17.100000000000001" customHeight="1" x14ac:dyDescent="0.45">
      <c r="A18" s="1"/>
      <c r="B18" s="49" t="s">
        <v>27</v>
      </c>
      <c r="C18" s="9">
        <f>-'Fane 4.1. Gen. krav - drift'!G42</f>
        <v>-403624.84074035531</v>
      </c>
      <c r="D18" s="8" t="s">
        <v>3</v>
      </c>
      <c r="E18" s="1"/>
    </row>
    <row r="19" spans="1:5" ht="15" customHeight="1" x14ac:dyDescent="0.45">
      <c r="A19" s="1"/>
      <c r="B19" s="49" t="s">
        <v>28</v>
      </c>
      <c r="C19" s="9">
        <f>-'Fane 4.2. Gen. krav - anlæg'!G41</f>
        <v>-1419625.2858166301</v>
      </c>
      <c r="D19" s="8" t="s">
        <v>3</v>
      </c>
      <c r="E19" s="1"/>
    </row>
    <row r="20" spans="1:5" ht="15" customHeight="1" x14ac:dyDescent="0.45">
      <c r="A20" s="1"/>
      <c r="B20" s="46" t="s">
        <v>22</v>
      </c>
      <c r="C20" s="10">
        <f>SUM(C9,C10:C19)</f>
        <v>113019881.93858811</v>
      </c>
      <c r="D20" s="11" t="s">
        <v>3</v>
      </c>
      <c r="E20" s="1"/>
    </row>
    <row r="21" spans="1:5" ht="15" customHeight="1" x14ac:dyDescent="0.45">
      <c r="A21" s="1"/>
      <c r="B21" s="36" t="s">
        <v>13</v>
      </c>
      <c r="C21" s="37"/>
      <c r="D21" s="20"/>
      <c r="E21" s="1"/>
    </row>
    <row r="22" spans="1:5" ht="15" customHeight="1" x14ac:dyDescent="0.45">
      <c r="A22" s="1"/>
      <c r="B22" s="61" t="s">
        <v>13</v>
      </c>
      <c r="C22" s="10">
        <f>'Fane 6. Ikke-påvirkelige omk.'!C15+'Fane 6. Ikke-påvirkelige omk.'!C19+'Fane 6. Ikke-påvirkelige omk.'!C27</f>
        <v>36850202.264753446</v>
      </c>
      <c r="D22" s="11" t="s">
        <v>3</v>
      </c>
      <c r="E22" s="1"/>
    </row>
    <row r="23" spans="1:5" ht="15" customHeight="1" x14ac:dyDescent="0.45">
      <c r="A23" s="1"/>
      <c r="B23" s="36" t="s">
        <v>78</v>
      </c>
      <c r="C23" s="37"/>
      <c r="D23" s="20"/>
      <c r="E23" s="1"/>
    </row>
    <row r="24" spans="1:5" ht="15" customHeight="1" x14ac:dyDescent="0.45">
      <c r="A24" s="1"/>
      <c r="B24" s="46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6" t="s">
        <v>77</v>
      </c>
      <c r="C25" s="37"/>
      <c r="D25" s="20"/>
      <c r="E25" s="1"/>
    </row>
    <row r="26" spans="1:5" x14ac:dyDescent="0.45">
      <c r="A26" s="1"/>
      <c r="B26" s="49" t="s">
        <v>73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49" t="s">
        <v>74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46" t="s">
        <v>79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6" t="s">
        <v>180</v>
      </c>
      <c r="C29" s="37"/>
      <c r="D29" s="20"/>
      <c r="E29" s="1"/>
    </row>
    <row r="30" spans="1:5" x14ac:dyDescent="0.45">
      <c r="A30" s="1"/>
      <c r="B30" s="61" t="s">
        <v>180</v>
      </c>
      <c r="C30" s="10">
        <f>'Fane 8. Korrektion af ØR2020'!E17</f>
        <v>-2078642</v>
      </c>
      <c r="D30" s="11" t="s">
        <v>3</v>
      </c>
      <c r="E30" s="1"/>
    </row>
    <row r="31" spans="1:5" x14ac:dyDescent="0.45">
      <c r="A31" s="1"/>
      <c r="B31" s="36" t="s">
        <v>170</v>
      </c>
      <c r="C31" s="37"/>
      <c r="D31" s="20"/>
      <c r="E31" s="1"/>
    </row>
    <row r="32" spans="1:5" x14ac:dyDescent="0.45">
      <c r="A32" s="1"/>
      <c r="B32" s="61" t="s">
        <v>308</v>
      </c>
      <c r="C32" s="10">
        <f>'Fane 7. Kontrol af ØR2020'!E32</f>
        <v>0</v>
      </c>
      <c r="D32" s="11" t="s">
        <v>3</v>
      </c>
      <c r="E32" s="1"/>
    </row>
    <row r="33" spans="1:5" x14ac:dyDescent="0.45">
      <c r="A33" s="1"/>
      <c r="B33" s="38" t="s">
        <v>262</v>
      </c>
      <c r="C33" s="37"/>
      <c r="D33" s="20"/>
      <c r="E33" s="1"/>
    </row>
    <row r="34" spans="1:5" x14ac:dyDescent="0.45">
      <c r="A34" s="1"/>
      <c r="B34" s="59" t="s">
        <v>263</v>
      </c>
      <c r="C34" s="10">
        <v>0</v>
      </c>
      <c r="D34" s="11" t="s">
        <v>3</v>
      </c>
      <c r="E34" s="1"/>
    </row>
    <row r="35" spans="1:5" x14ac:dyDescent="0.45">
      <c r="A35" s="1"/>
      <c r="B35" s="36" t="s">
        <v>32</v>
      </c>
      <c r="C35" s="12">
        <f>SUM(C20,C22,C24,C28,C30,C32,C34)</f>
        <v>147791442.20334154</v>
      </c>
      <c r="D35" s="13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B46" s="1"/>
      <c r="C46" s="1"/>
      <c r="D46" s="1"/>
    </row>
    <row r="47" spans="1:5" x14ac:dyDescent="0.45">
      <c r="B47" s="1"/>
      <c r="C47" s="1"/>
      <c r="D47" s="1"/>
    </row>
  </sheetData>
  <sheetProtection algorithmName="SHA-512" hashValue="P9a7vn+C9Y8X/BJRcaRR48BX0RTLExSuEzXf5C6GXlGWovB/N/F43GTEW5driyEZxw6TtYY6d9BjH+jDyFYEag==" saltValue="vm+eeAkGHVjr8QvmOBjwD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265625" style="2" customWidth="1"/>
    <col min="3" max="3" width="10.7304687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3" t="s">
        <v>182</v>
      </c>
      <c r="C3" s="83"/>
      <c r="D3" s="83"/>
      <c r="E3" s="1"/>
    </row>
    <row r="4" spans="1:5" ht="15" customHeight="1" x14ac:dyDescent="0.45">
      <c r="A4" s="1"/>
      <c r="B4" s="83"/>
      <c r="C4" s="83"/>
      <c r="D4" s="83"/>
      <c r="E4" s="1"/>
    </row>
    <row r="5" spans="1:5" x14ac:dyDescent="0.45">
      <c r="A5" s="1"/>
      <c r="B5" s="84"/>
      <c r="C5" s="84"/>
      <c r="D5" s="8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6" t="s">
        <v>14</v>
      </c>
      <c r="C8" s="37"/>
      <c r="D8" s="20"/>
      <c r="E8" s="1"/>
    </row>
    <row r="9" spans="1:5" ht="15" customHeight="1" x14ac:dyDescent="0.45">
      <c r="A9" s="1"/>
      <c r="B9" s="51" t="s">
        <v>109</v>
      </c>
      <c r="C9" s="7">
        <f>'Fane 2.1. Økonomisk ramme 2022'!C20</f>
        <v>113019881.93858811</v>
      </c>
      <c r="D9" s="8" t="s">
        <v>3</v>
      </c>
      <c r="E9" s="1"/>
    </row>
    <row r="10" spans="1:5" ht="15" customHeight="1" x14ac:dyDescent="0.45">
      <c r="A10" s="1"/>
      <c r="B10" s="49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9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42" t="s">
        <v>20</v>
      </c>
      <c r="C12" s="9">
        <f>SUM(C9:C11)*'Fane 14. Nøgletal'!C14</f>
        <v>372965.61039734079</v>
      </c>
      <c r="D12" s="8" t="s">
        <v>3</v>
      </c>
      <c r="E12" s="1"/>
    </row>
    <row r="13" spans="1:5" ht="15" customHeight="1" x14ac:dyDescent="0.45">
      <c r="A13" s="1"/>
      <c r="B13" s="42" t="s">
        <v>10</v>
      </c>
      <c r="C13" s="9">
        <f>-SUM(C9:C12)*'Fane 5. Individuelt eff. krav'!G11</f>
        <v>-755602.00189249043</v>
      </c>
      <c r="D13" s="8" t="s">
        <v>3</v>
      </c>
      <c r="E13" s="1"/>
    </row>
    <row r="14" spans="1:5" ht="15" customHeight="1" x14ac:dyDescent="0.45">
      <c r="A14" s="1"/>
      <c r="B14" s="42" t="s">
        <v>27</v>
      </c>
      <c r="C14" s="9">
        <f>-'Fane 4.1. Gen. krav - drift'!G49</f>
        <v>-396857.66666050255</v>
      </c>
      <c r="D14" s="8" t="s">
        <v>3</v>
      </c>
      <c r="E14" s="1"/>
    </row>
    <row r="15" spans="1:5" ht="15" customHeight="1" x14ac:dyDescent="0.45">
      <c r="A15" s="1"/>
      <c r="B15" s="42" t="s">
        <v>28</v>
      </c>
      <c r="C15" s="9">
        <f>-'Fane 4.2. Gen. krav - anlæg'!G48</f>
        <v>-1403230.2605307798</v>
      </c>
      <c r="D15" s="8" t="s">
        <v>3</v>
      </c>
      <c r="E15" s="1"/>
    </row>
    <row r="16" spans="1:5" ht="15" customHeight="1" x14ac:dyDescent="0.45">
      <c r="A16" s="1"/>
      <c r="B16" s="43" t="s">
        <v>22</v>
      </c>
      <c r="C16" s="10">
        <f>SUM(C9:C15)</f>
        <v>110837157.61990167</v>
      </c>
      <c r="D16" s="11" t="s">
        <v>3</v>
      </c>
      <c r="E16" s="1"/>
    </row>
    <row r="17" spans="1:5" ht="15" customHeight="1" x14ac:dyDescent="0.45">
      <c r="A17" s="1"/>
      <c r="B17" s="36" t="s">
        <v>13</v>
      </c>
      <c r="C17" s="37"/>
      <c r="D17" s="20"/>
      <c r="E17" s="1"/>
    </row>
    <row r="18" spans="1:5" ht="15" customHeight="1" x14ac:dyDescent="0.45">
      <c r="A18" s="1"/>
      <c r="B18" s="61" t="s">
        <v>13</v>
      </c>
      <c r="C18" s="10">
        <f>'Fane 6. Ikke-påvirkelige omk.'!C15*(1+'Fane 14. Nøgletal'!C14)+'Fane 6. Ikke-påvirkelige omk.'!C20+'Fane 6. Ikke-påvirkelige omk.'!C28</f>
        <v>36108597.805027135</v>
      </c>
      <c r="D18" s="11" t="s">
        <v>3</v>
      </c>
      <c r="E18" s="1"/>
    </row>
    <row r="19" spans="1:5" ht="15" customHeight="1" x14ac:dyDescent="0.45">
      <c r="A19" s="1"/>
      <c r="B19" s="36" t="s">
        <v>78</v>
      </c>
      <c r="C19" s="37"/>
      <c r="D19" s="20"/>
      <c r="E19" s="1"/>
    </row>
    <row r="20" spans="1:5" ht="15" customHeight="1" x14ac:dyDescent="0.45">
      <c r="A20" s="1"/>
      <c r="B20" s="46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45">
      <c r="A21" s="1"/>
      <c r="B21" s="36" t="s">
        <v>77</v>
      </c>
      <c r="C21" s="37"/>
      <c r="D21" s="20"/>
      <c r="E21" s="1"/>
    </row>
    <row r="22" spans="1:5" ht="15" customHeight="1" x14ac:dyDescent="0.45">
      <c r="A22" s="1"/>
      <c r="B22" s="49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9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6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45">
      <c r="A25" s="1"/>
      <c r="B25" s="36" t="s">
        <v>171</v>
      </c>
      <c r="C25" s="37"/>
      <c r="D25" s="20"/>
      <c r="E25" s="1"/>
    </row>
    <row r="26" spans="1:5" ht="15" customHeight="1" x14ac:dyDescent="0.45">
      <c r="A26" s="1"/>
      <c r="B26" s="61" t="s">
        <v>308</v>
      </c>
      <c r="C26" s="10">
        <f>'Fane 7. Kontrol af ØR2020'!E32</f>
        <v>0</v>
      </c>
      <c r="D26" s="11" t="s">
        <v>3</v>
      </c>
      <c r="E26" s="1"/>
    </row>
    <row r="27" spans="1:5" x14ac:dyDescent="0.45">
      <c r="A27" s="1"/>
      <c r="B27" s="38" t="s">
        <v>262</v>
      </c>
      <c r="C27" s="37"/>
      <c r="D27" s="20"/>
      <c r="E27" s="1"/>
    </row>
    <row r="28" spans="1:5" x14ac:dyDescent="0.45">
      <c r="A28" s="1"/>
      <c r="B28" s="59" t="s">
        <v>263</v>
      </c>
      <c r="C28" s="10">
        <v>0</v>
      </c>
      <c r="D28" s="11" t="s">
        <v>3</v>
      </c>
      <c r="E28" s="1"/>
    </row>
    <row r="29" spans="1:5" ht="15" customHeight="1" x14ac:dyDescent="0.45">
      <c r="A29" s="1"/>
      <c r="B29" s="36" t="s">
        <v>86</v>
      </c>
      <c r="C29" s="12">
        <f>SUM(C16,C18,C20,C24,C26,C28)</f>
        <v>146945755.42492881</v>
      </c>
      <c r="D29" s="13" t="s">
        <v>3</v>
      </c>
      <c r="E29" s="1"/>
    </row>
    <row r="30" spans="1:5" ht="15" customHeight="1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kVN7BHXsqLeLzwUwIHtMcSZ3hjpNyN3XiZQzMI5kVOGEg+24V8gbDz3KlvTBMYoN7mBpgCb6bHiWmsmNoDqYVw==" saltValue="XUr3zxQupg6Wpw1M3TMqb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1.86328125" style="2" customWidth="1"/>
    <col min="3" max="3" width="11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3" t="s">
        <v>183</v>
      </c>
      <c r="C3" s="83"/>
      <c r="D3" s="83"/>
      <c r="E3" s="1"/>
    </row>
    <row r="4" spans="1:5" ht="15" customHeight="1" x14ac:dyDescent="0.45">
      <c r="A4" s="1"/>
      <c r="B4" s="83"/>
      <c r="C4" s="83"/>
      <c r="D4" s="83"/>
      <c r="E4" s="1"/>
    </row>
    <row r="5" spans="1:5" x14ac:dyDescent="0.45">
      <c r="A5" s="1"/>
      <c r="B5" s="84" t="s">
        <v>23</v>
      </c>
      <c r="C5" s="84"/>
      <c r="D5" s="8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6" t="s">
        <v>14</v>
      </c>
      <c r="C7" s="37"/>
      <c r="D7" s="20"/>
      <c r="E7" s="1"/>
    </row>
    <row r="8" spans="1:5" ht="15" customHeight="1" x14ac:dyDescent="0.45">
      <c r="A8" s="1"/>
      <c r="B8" s="51" t="s">
        <v>139</v>
      </c>
      <c r="C8" s="7">
        <f>'Fane 2.2. Økonomisk ramme 2023'!C16</f>
        <v>110837157.61990167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45">
      <c r="A11" s="1"/>
      <c r="B11" s="42" t="s">
        <v>20</v>
      </c>
      <c r="C11" s="9">
        <f>SUM(C8:C10)*'Fane 14. Nøgletal'!C14</f>
        <v>365762.62014567549</v>
      </c>
      <c r="D11" s="8" t="s">
        <v>3</v>
      </c>
      <c r="E11" s="1"/>
    </row>
    <row r="12" spans="1:5" ht="15" customHeight="1" x14ac:dyDescent="0.45">
      <c r="A12" s="1"/>
      <c r="B12" s="42" t="s">
        <v>10</v>
      </c>
      <c r="C12" s="9">
        <f>-SUM(C8:C11)*'Fane 5. Individuelt eff. krav'!G11</f>
        <v>-741009.25204627251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drift'!G56</f>
        <v>-390203.95102127263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anlæg'!G54</f>
        <v>-1387024.5787687516</v>
      </c>
      <c r="D14" s="8" t="s">
        <v>3</v>
      </c>
      <c r="E14" s="1"/>
    </row>
    <row r="15" spans="1:5" x14ac:dyDescent="0.45">
      <c r="A15" s="1"/>
      <c r="B15" s="43" t="s">
        <v>22</v>
      </c>
      <c r="C15" s="10">
        <f>SUM(C8:C14)</f>
        <v>108684682.45821106</v>
      </c>
      <c r="D15" s="11" t="s">
        <v>3</v>
      </c>
      <c r="E15" s="1"/>
    </row>
    <row r="16" spans="1:5" x14ac:dyDescent="0.45">
      <c r="A16" s="1"/>
      <c r="B16" s="36" t="s">
        <v>13</v>
      </c>
      <c r="C16" s="37"/>
      <c r="D16" s="20"/>
      <c r="E16" s="1"/>
    </row>
    <row r="17" spans="1:5" ht="15" customHeight="1" x14ac:dyDescent="0.45">
      <c r="A17" s="1"/>
      <c r="B17" s="61" t="s">
        <v>13</v>
      </c>
      <c r="C17" s="10">
        <f>'Fane 6. Ikke-påvirkelige omk.'!C15*(1+'Fane 14. Nøgletal'!C14)^2+'Fane 6. Ikke-påvirkelige omk.'!C21+'Fane 6. Ikke-påvirkelige omk.'!C29</f>
        <v>35154650.94288373</v>
      </c>
      <c r="D17" s="11" t="s">
        <v>3</v>
      </c>
      <c r="E17" s="1"/>
    </row>
    <row r="18" spans="1:5" ht="15" customHeight="1" x14ac:dyDescent="0.45">
      <c r="A18" s="1"/>
      <c r="B18" s="36" t="s">
        <v>78</v>
      </c>
      <c r="C18" s="37"/>
      <c r="D18" s="20"/>
      <c r="E18" s="1"/>
    </row>
    <row r="19" spans="1:5" ht="15" customHeight="1" x14ac:dyDescent="0.45">
      <c r="A19" s="1"/>
      <c r="B19" s="46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45">
      <c r="A20" s="1"/>
      <c r="B20" s="36" t="s">
        <v>77</v>
      </c>
      <c r="C20" s="37"/>
      <c r="D20" s="20"/>
      <c r="E20" s="1"/>
    </row>
    <row r="21" spans="1:5" ht="15" customHeight="1" x14ac:dyDescent="0.45">
      <c r="A21" s="1"/>
      <c r="B21" s="49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45">
      <c r="A22" s="1"/>
      <c r="B22" s="49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4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x14ac:dyDescent="0.45">
      <c r="A24" s="1"/>
      <c r="B24" s="38" t="s">
        <v>262</v>
      </c>
      <c r="C24" s="37"/>
      <c r="D24" s="20"/>
      <c r="E24" s="1"/>
    </row>
    <row r="25" spans="1:5" x14ac:dyDescent="0.45">
      <c r="A25" s="1"/>
      <c r="B25" s="59" t="s">
        <v>263</v>
      </c>
      <c r="C25" s="10">
        <v>0</v>
      </c>
      <c r="D25" s="11" t="s">
        <v>3</v>
      </c>
      <c r="E25" s="1"/>
    </row>
    <row r="26" spans="1:5" x14ac:dyDescent="0.45">
      <c r="A26" s="1"/>
      <c r="B26" s="36" t="s">
        <v>140</v>
      </c>
      <c r="C26" s="12">
        <f>SUM(C15,C17,C19,C23,C25)</f>
        <v>143839333.40109479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LLCvDS9VcfB4BpbUNRWoZar/sDD/x6dteXSCbc82Lwt4IWWGrFm0HsUl6HLE2OaIoYMS10TZwMdPgrUGP+6vbQ==" saltValue="pRbv6lmHfWMNQxHrEUeBu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86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3" t="s">
        <v>184</v>
      </c>
      <c r="C3" s="83"/>
      <c r="D3" s="83"/>
      <c r="E3" s="1"/>
    </row>
    <row r="4" spans="1:5" ht="15" customHeight="1" x14ac:dyDescent="0.45">
      <c r="A4" s="1"/>
      <c r="B4" s="83"/>
      <c r="C4" s="83"/>
      <c r="D4" s="83"/>
      <c r="E4" s="1"/>
    </row>
    <row r="5" spans="1:5" x14ac:dyDescent="0.45">
      <c r="A5" s="1"/>
      <c r="B5" s="84" t="s">
        <v>23</v>
      </c>
      <c r="C5" s="84"/>
      <c r="D5" s="8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6" t="s">
        <v>14</v>
      </c>
      <c r="C7" s="37"/>
      <c r="D7" s="20"/>
      <c r="E7" s="1"/>
    </row>
    <row r="8" spans="1:5" ht="15" customHeight="1" x14ac:dyDescent="0.45">
      <c r="A8" s="1"/>
      <c r="B8" s="51" t="s">
        <v>185</v>
      </c>
      <c r="C8" s="7">
        <f>'Fane 2.3. Økonomisk ramme 2024'!C15</f>
        <v>108684682.45821106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45">
      <c r="A11" s="1"/>
      <c r="B11" s="42" t="s">
        <v>20</v>
      </c>
      <c r="C11" s="9">
        <f>SUM(C8:C10)*'Fane 14. Nøgletal'!C14</f>
        <v>358659.45211209654</v>
      </c>
      <c r="D11" s="8" t="s">
        <v>3</v>
      </c>
      <c r="E11" s="1"/>
    </row>
    <row r="12" spans="1:5" ht="15" customHeight="1" x14ac:dyDescent="0.45">
      <c r="A12" s="1"/>
      <c r="B12" s="42" t="s">
        <v>10</v>
      </c>
      <c r="C12" s="9">
        <f>-SUM(C8:C11)*'Fane 5. Individuelt eff. krav'!G11</f>
        <v>-726618.73496821511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drift'!G62</f>
        <v>-383661.79157845001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anlæg'!G60</f>
        <v>-1371006.0538324842</v>
      </c>
      <c r="D14" s="8" t="s">
        <v>3</v>
      </c>
      <c r="E14" s="1"/>
    </row>
    <row r="15" spans="1:5" x14ac:dyDescent="0.45">
      <c r="A15" s="1"/>
      <c r="B15" s="43" t="s">
        <v>22</v>
      </c>
      <c r="C15" s="10">
        <f>SUM(C8:C14)</f>
        <v>106562055.329944</v>
      </c>
      <c r="D15" s="11" t="s">
        <v>3</v>
      </c>
      <c r="E15" s="1"/>
    </row>
    <row r="16" spans="1:5" x14ac:dyDescent="0.45">
      <c r="A16" s="1"/>
      <c r="B16" s="36" t="s">
        <v>13</v>
      </c>
      <c r="C16" s="37"/>
      <c r="D16" s="20"/>
      <c r="E16" s="1"/>
    </row>
    <row r="17" spans="1:5" ht="15" customHeight="1" x14ac:dyDescent="0.45">
      <c r="A17" s="1"/>
      <c r="B17" s="61" t="s">
        <v>13</v>
      </c>
      <c r="C17" s="10">
        <f>'Fane 6. Ikke-påvirkelige omk.'!C15*(1+'Fane 14. Nøgletal'!C14)^3+'Fane 6. Ikke-påvirkelige omk.'!C22+'Fane 6. Ikke-påvirkelige omk.'!C30</f>
        <v>35273317.927695245</v>
      </c>
      <c r="D17" s="11" t="s">
        <v>3</v>
      </c>
      <c r="E17" s="1"/>
    </row>
    <row r="18" spans="1:5" ht="15" customHeight="1" x14ac:dyDescent="0.45">
      <c r="A18" s="1"/>
      <c r="B18" s="36" t="s">
        <v>78</v>
      </c>
      <c r="C18" s="37"/>
      <c r="D18" s="20"/>
      <c r="E18" s="1"/>
    </row>
    <row r="19" spans="1:5" ht="15" customHeight="1" x14ac:dyDescent="0.45">
      <c r="A19" s="1"/>
      <c r="B19" s="46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45">
      <c r="A20" s="1"/>
      <c r="B20" s="36" t="s">
        <v>77</v>
      </c>
      <c r="C20" s="37"/>
      <c r="D20" s="20"/>
      <c r="E20" s="1"/>
    </row>
    <row r="21" spans="1:5" ht="15" customHeight="1" x14ac:dyDescent="0.45">
      <c r="A21" s="1"/>
      <c r="B21" s="49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45">
      <c r="A22" s="1"/>
      <c r="B22" s="49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4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36" t="s">
        <v>186</v>
      </c>
      <c r="C24" s="12">
        <f>SUM(C15,C17,C19,C23)</f>
        <v>141835373.25763923</v>
      </c>
      <c r="D24" s="13" t="s">
        <v>3</v>
      </c>
      <c r="E24" s="1"/>
    </row>
    <row r="25" spans="1:5" ht="15" customHeight="1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hq1OT+U0Am15f5NGbW1he7S5mv2zSh+aiHN2OgCR0QKkVR3p9TPVBwIY7VGJ2yOrApJ/zBQItnlI4dHkLtKODw==" saltValue="E9+k+hhLa+TvALxTAaKAc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2" width="12.1328125" style="2" customWidth="1"/>
    <col min="3" max="3" width="12" style="2" customWidth="1"/>
    <col min="4" max="4" width="31.73046875" style="2" customWidth="1"/>
    <col min="5" max="5" width="10.86328125" style="2" bestFit="1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187</v>
      </c>
      <c r="C3" s="103"/>
      <c r="D3" s="103"/>
      <c r="E3" s="103"/>
      <c r="F3" s="103"/>
      <c r="G3" s="1"/>
    </row>
    <row r="4" spans="1:7" ht="29.2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188</v>
      </c>
      <c r="C8" s="37"/>
      <c r="D8" s="37"/>
      <c r="E8" s="37"/>
      <c r="F8" s="20"/>
      <c r="G8" s="1"/>
    </row>
    <row r="9" spans="1:7" x14ac:dyDescent="0.45">
      <c r="A9" s="1"/>
      <c r="B9" s="104" t="s">
        <v>25</v>
      </c>
      <c r="C9" s="105"/>
      <c r="D9" s="106"/>
      <c r="E9" s="7">
        <v>108304762.40125409</v>
      </c>
      <c r="F9" s="8" t="s">
        <v>3</v>
      </c>
      <c r="G9" s="1"/>
    </row>
    <row r="10" spans="1:7" ht="14.25" customHeight="1" x14ac:dyDescent="0.45">
      <c r="A10" s="1"/>
      <c r="B10" s="100" t="s">
        <v>227</v>
      </c>
      <c r="C10" s="101"/>
      <c r="D10" s="102"/>
      <c r="E10" s="7">
        <v>0</v>
      </c>
      <c r="F10" s="8" t="s">
        <v>3</v>
      </c>
      <c r="G10" s="1"/>
    </row>
    <row r="11" spans="1:7" ht="14.25" customHeight="1" x14ac:dyDescent="0.45">
      <c r="A11" s="1"/>
      <c r="B11" s="100" t="s">
        <v>228</v>
      </c>
      <c r="C11" s="101"/>
      <c r="D11" s="102"/>
      <c r="E11" s="7">
        <v>1196402.671950568</v>
      </c>
      <c r="F11" s="8" t="s">
        <v>3</v>
      </c>
      <c r="G11" s="1"/>
    </row>
    <row r="12" spans="1:7" x14ac:dyDescent="0.45">
      <c r="A12" s="1"/>
      <c r="B12" s="100" t="s">
        <v>189</v>
      </c>
      <c r="C12" s="101"/>
      <c r="D12" s="102"/>
      <c r="E12" s="9">
        <v>0</v>
      </c>
      <c r="F12" s="8" t="s">
        <v>3</v>
      </c>
      <c r="G12" s="1"/>
    </row>
    <row r="13" spans="1:7" x14ac:dyDescent="0.45">
      <c r="A13" s="1"/>
      <c r="B13" s="100" t="s">
        <v>190</v>
      </c>
      <c r="C13" s="101"/>
      <c r="D13" s="102"/>
      <c r="E13" s="9">
        <v>322479.76797796297</v>
      </c>
      <c r="F13" s="8" t="s">
        <v>3</v>
      </c>
      <c r="G13" s="1"/>
    </row>
    <row r="14" spans="1:7" x14ac:dyDescent="0.45">
      <c r="A14" s="1"/>
      <c r="B14" s="91" t="s">
        <v>43</v>
      </c>
      <c r="C14" s="92"/>
      <c r="D14" s="93"/>
      <c r="E14" s="9">
        <v>1157414.2608</v>
      </c>
      <c r="F14" s="8" t="s">
        <v>3</v>
      </c>
      <c r="G14" s="1"/>
    </row>
    <row r="15" spans="1:7" x14ac:dyDescent="0.45">
      <c r="A15" s="1"/>
      <c r="B15" s="91" t="s">
        <v>44</v>
      </c>
      <c r="C15" s="92"/>
      <c r="D15" s="93"/>
      <c r="E15" s="9">
        <v>1045895.1258</v>
      </c>
      <c r="F15" s="8" t="s">
        <v>3</v>
      </c>
      <c r="G15" s="1"/>
    </row>
    <row r="16" spans="1:7" x14ac:dyDescent="0.45">
      <c r="A16" s="1"/>
      <c r="B16" s="91" t="s">
        <v>30</v>
      </c>
      <c r="C16" s="92"/>
      <c r="D16" s="93"/>
      <c r="E16" s="9">
        <v>0</v>
      </c>
      <c r="F16" s="8" t="s">
        <v>3</v>
      </c>
      <c r="G16" s="1"/>
    </row>
    <row r="17" spans="1:7" x14ac:dyDescent="0.45">
      <c r="A17" s="1"/>
      <c r="B17" s="91" t="s">
        <v>29</v>
      </c>
      <c r="C17" s="92"/>
      <c r="D17" s="93"/>
      <c r="E17" s="9">
        <v>0</v>
      </c>
      <c r="F17" s="8" t="s">
        <v>3</v>
      </c>
      <c r="G17" s="1"/>
    </row>
    <row r="18" spans="1:7" x14ac:dyDescent="0.45">
      <c r="A18" s="1"/>
      <c r="B18" s="91" t="s">
        <v>137</v>
      </c>
      <c r="C18" s="92"/>
      <c r="D18" s="93"/>
      <c r="E18" s="9">
        <v>0</v>
      </c>
      <c r="F18" s="8" t="s">
        <v>3</v>
      </c>
      <c r="G18" s="1"/>
    </row>
    <row r="19" spans="1:7" x14ac:dyDescent="0.45">
      <c r="A19" s="1"/>
      <c r="B19" s="91" t="s">
        <v>138</v>
      </c>
      <c r="C19" s="92"/>
      <c r="D19" s="93"/>
      <c r="E19" s="9">
        <v>0</v>
      </c>
      <c r="F19" s="8" t="s">
        <v>3</v>
      </c>
      <c r="G19" s="1"/>
    </row>
    <row r="20" spans="1:7" x14ac:dyDescent="0.45">
      <c r="A20" s="1"/>
      <c r="B20" s="91" t="s">
        <v>20</v>
      </c>
      <c r="C20" s="92"/>
      <c r="D20" s="93"/>
      <c r="E20" s="9">
        <v>1922205.3304248478</v>
      </c>
      <c r="F20" s="8" t="s">
        <v>3</v>
      </c>
      <c r="G20" s="1"/>
    </row>
    <row r="21" spans="1:7" x14ac:dyDescent="0.45">
      <c r="A21" s="1"/>
      <c r="B21" s="91" t="s">
        <v>10</v>
      </c>
      <c r="C21" s="92"/>
      <c r="D21" s="93"/>
      <c r="E21" s="9">
        <v>0</v>
      </c>
      <c r="F21" s="8" t="s">
        <v>3</v>
      </c>
      <c r="G21" s="1"/>
    </row>
    <row r="22" spans="1:7" x14ac:dyDescent="0.45">
      <c r="A22" s="1"/>
      <c r="B22" s="91" t="s">
        <v>27</v>
      </c>
      <c r="C22" s="92"/>
      <c r="D22" s="93"/>
      <c r="E22" s="9">
        <f>-'Fane 4.1. Gen. krav - drift'!G36</f>
        <v>-404409.2276888481</v>
      </c>
      <c r="F22" s="8" t="s">
        <v>3</v>
      </c>
      <c r="G22" s="1"/>
    </row>
    <row r="23" spans="1:7" x14ac:dyDescent="0.45">
      <c r="A23" s="1"/>
      <c r="B23" s="91" t="s">
        <v>28</v>
      </c>
      <c r="C23" s="92"/>
      <c r="D23" s="93"/>
      <c r="E23" s="9">
        <f>-'Fane 4.2. Gen. krav - anlæg'!G35</f>
        <v>-1643672.617188816</v>
      </c>
      <c r="F23" s="8" t="s">
        <v>3</v>
      </c>
      <c r="G23" s="1"/>
    </row>
    <row r="24" spans="1:7" x14ac:dyDescent="0.45">
      <c r="A24" s="1"/>
      <c r="B24" s="94" t="s">
        <v>22</v>
      </c>
      <c r="C24" s="95"/>
      <c r="D24" s="96"/>
      <c r="E24" s="10">
        <f>SUM(E9,E14:E23)</f>
        <v>110382195.27340128</v>
      </c>
      <c r="F24" s="11" t="s">
        <v>3</v>
      </c>
      <c r="G24" s="1"/>
    </row>
    <row r="25" spans="1:7" x14ac:dyDescent="0.45">
      <c r="A25" s="1"/>
      <c r="B25" s="36" t="s">
        <v>13</v>
      </c>
      <c r="C25" s="37"/>
      <c r="D25" s="37"/>
      <c r="E25" s="37"/>
      <c r="F25" s="20"/>
      <c r="G25" s="1"/>
    </row>
    <row r="26" spans="1:7" ht="14.25" customHeight="1" x14ac:dyDescent="0.45">
      <c r="A26" s="1"/>
      <c r="B26" s="88" t="s">
        <v>13</v>
      </c>
      <c r="C26" s="89"/>
      <c r="D26" s="90"/>
      <c r="E26" s="10">
        <v>36584460.786398597</v>
      </c>
      <c r="F26" s="10" t="s">
        <v>3</v>
      </c>
      <c r="G26" s="1"/>
    </row>
    <row r="27" spans="1:7" ht="14.25" customHeight="1" x14ac:dyDescent="0.45">
      <c r="A27" s="1"/>
      <c r="B27" s="36" t="s">
        <v>78</v>
      </c>
      <c r="C27" s="37"/>
      <c r="D27" s="37"/>
      <c r="E27" s="37"/>
      <c r="F27" s="20"/>
      <c r="G27" s="1"/>
    </row>
    <row r="28" spans="1:7" x14ac:dyDescent="0.45">
      <c r="A28" s="1"/>
      <c r="B28" s="97" t="s">
        <v>78</v>
      </c>
      <c r="C28" s="98"/>
      <c r="D28" s="99"/>
      <c r="E28" s="10">
        <v>0</v>
      </c>
      <c r="F28" s="10" t="s">
        <v>3</v>
      </c>
      <c r="G28" s="1"/>
    </row>
    <row r="29" spans="1:7" x14ac:dyDescent="0.45">
      <c r="A29" s="1"/>
      <c r="B29" s="36" t="s">
        <v>77</v>
      </c>
      <c r="C29" s="37"/>
      <c r="D29" s="37"/>
      <c r="E29" s="37"/>
      <c r="F29" s="20"/>
      <c r="G29" s="1"/>
    </row>
    <row r="30" spans="1:7" ht="15.4" customHeight="1" x14ac:dyDescent="0.45">
      <c r="A30" s="1"/>
      <c r="B30" s="100" t="s">
        <v>73</v>
      </c>
      <c r="C30" s="101"/>
      <c r="D30" s="102"/>
      <c r="E30" s="34">
        <v>0</v>
      </c>
      <c r="F30" s="8" t="s">
        <v>3</v>
      </c>
      <c r="G30" s="1"/>
    </row>
    <row r="31" spans="1:7" ht="15.75" customHeight="1" x14ac:dyDescent="0.45">
      <c r="A31" s="1"/>
      <c r="B31" s="100" t="s">
        <v>74</v>
      </c>
      <c r="C31" s="101"/>
      <c r="D31" s="102"/>
      <c r="E31" s="34">
        <v>0</v>
      </c>
      <c r="F31" s="8" t="s">
        <v>3</v>
      </c>
      <c r="G31" s="1"/>
    </row>
    <row r="32" spans="1:7" x14ac:dyDescent="0.45">
      <c r="A32" s="1"/>
      <c r="B32" s="46" t="s">
        <v>79</v>
      </c>
      <c r="C32" s="44"/>
      <c r="D32" s="45"/>
      <c r="E32" s="10">
        <v>0</v>
      </c>
      <c r="F32" s="11" t="s">
        <v>3</v>
      </c>
      <c r="G32" s="1"/>
    </row>
    <row r="33" spans="1:7" x14ac:dyDescent="0.45">
      <c r="A33" s="1"/>
      <c r="B33" s="36" t="s">
        <v>303</v>
      </c>
      <c r="C33" s="37"/>
      <c r="D33" s="37"/>
      <c r="E33" s="37"/>
      <c r="F33" s="20"/>
      <c r="G33" s="1"/>
    </row>
    <row r="34" spans="1:7" ht="15" customHeight="1" x14ac:dyDescent="0.45">
      <c r="A34" s="1"/>
      <c r="B34" s="88" t="s">
        <v>303</v>
      </c>
      <c r="C34" s="89"/>
      <c r="D34" s="90"/>
      <c r="E34" s="10">
        <v>-2075759</v>
      </c>
      <c r="F34" s="11" t="s">
        <v>3</v>
      </c>
      <c r="G34" s="1"/>
    </row>
    <row r="35" spans="1:7" x14ac:dyDescent="0.45">
      <c r="A35" s="1"/>
      <c r="B35" s="36" t="s">
        <v>31</v>
      </c>
      <c r="C35" s="37"/>
      <c r="D35" s="37"/>
      <c r="E35" s="12">
        <f>E24+E26+E28+E32+E34</f>
        <v>144890897.05979988</v>
      </c>
      <c r="F35" s="13" t="s">
        <v>3</v>
      </c>
      <c r="G35" s="1"/>
    </row>
    <row r="36" spans="1:7" ht="26.85" customHeight="1" x14ac:dyDescent="0.45">
      <c r="A36" s="1"/>
      <c r="B36" s="85" t="s">
        <v>226</v>
      </c>
      <c r="C36" s="86"/>
      <c r="D36" s="86"/>
      <c r="E36" s="86"/>
      <c r="F36" s="87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TmWPGHORpM9Na5V8OIavUmTStcrzaQplsIgMHA0mJKZg1vNLQhAF7vB5PT6Iya/hwNN0t6JgWapF32JO6KEFSg==" saltValue="I7+JTsPHvwqRaWEcPum8+g==" spinCount="100000" sheet="1" objects="1" scenarios="1"/>
  <mergeCells count="23">
    <mergeCell ref="B3:F4"/>
    <mergeCell ref="B9:D9"/>
    <mergeCell ref="B14:D14"/>
    <mergeCell ref="B15:D15"/>
    <mergeCell ref="B16:D16"/>
    <mergeCell ref="B12:D12"/>
    <mergeCell ref="B13:D13"/>
    <mergeCell ref="B10:D10"/>
    <mergeCell ref="B11:D11"/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103" t="s">
        <v>121</v>
      </c>
      <c r="C1" s="103"/>
      <c r="D1" s="103"/>
      <c r="E1" s="103"/>
      <c r="F1" s="103"/>
      <c r="G1" s="103"/>
      <c r="H1" s="103"/>
      <c r="I1" s="1"/>
    </row>
    <row r="2" spans="1:9" ht="15" customHeight="1" x14ac:dyDescent="0.45">
      <c r="A2" s="1"/>
      <c r="B2" s="103"/>
      <c r="C2" s="103"/>
      <c r="D2" s="103"/>
      <c r="E2" s="103"/>
      <c r="F2" s="103"/>
      <c r="G2" s="103"/>
      <c r="H2" s="103"/>
      <c r="I2" s="1"/>
    </row>
    <row r="3" spans="1:9" ht="15" customHeight="1" x14ac:dyDescent="0.45">
      <c r="A3" s="1"/>
      <c r="B3" s="103"/>
      <c r="C3" s="103"/>
      <c r="D3" s="103"/>
      <c r="E3" s="103"/>
      <c r="F3" s="103"/>
      <c r="G3" s="103"/>
      <c r="H3" s="103"/>
      <c r="I3" s="1"/>
    </row>
    <row r="4" spans="1:9" x14ac:dyDescent="0.45">
      <c r="A4" s="1"/>
      <c r="B4" s="107" t="s">
        <v>229</v>
      </c>
      <c r="C4" s="108"/>
      <c r="D4" s="108"/>
      <c r="E4" s="108"/>
      <c r="F4" s="108"/>
      <c r="G4" s="108"/>
      <c r="H4" s="109"/>
      <c r="I4" s="1"/>
    </row>
    <row r="5" spans="1:9" x14ac:dyDescent="0.45">
      <c r="A5" s="1"/>
      <c r="B5" s="110" t="s">
        <v>230</v>
      </c>
      <c r="C5" s="111"/>
      <c r="D5" s="111"/>
      <c r="E5" s="111"/>
      <c r="F5" s="112"/>
      <c r="G5" s="24">
        <v>19267641</v>
      </c>
      <c r="H5" s="14" t="s">
        <v>3</v>
      </c>
      <c r="I5" s="1"/>
    </row>
    <row r="6" spans="1:9" ht="15" customHeight="1" x14ac:dyDescent="0.45">
      <c r="A6" s="1"/>
      <c r="B6" s="85" t="s">
        <v>231</v>
      </c>
      <c r="C6" s="86"/>
      <c r="D6" s="86"/>
      <c r="E6" s="86"/>
      <c r="F6" s="87"/>
      <c r="G6" s="34">
        <v>0</v>
      </c>
      <c r="H6" s="14" t="s">
        <v>3</v>
      </c>
      <c r="I6" s="1"/>
    </row>
    <row r="7" spans="1:9" x14ac:dyDescent="0.45">
      <c r="A7" s="1"/>
      <c r="B7" s="110" t="s">
        <v>232</v>
      </c>
      <c r="C7" s="111"/>
      <c r="D7" s="111"/>
      <c r="E7" s="111"/>
      <c r="F7" s="112"/>
      <c r="G7" s="24">
        <f>SUM(G5:G6)*'Fane 14. Nøgletal'!C29</f>
        <v>385352.82</v>
      </c>
      <c r="H7" s="14" t="s">
        <v>3</v>
      </c>
      <c r="I7" s="1"/>
    </row>
    <row r="8" spans="1:9" x14ac:dyDescent="0.4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07" t="s">
        <v>53</v>
      </c>
      <c r="C10" s="108"/>
      <c r="D10" s="108"/>
      <c r="E10" s="108"/>
      <c r="F10" s="108"/>
      <c r="G10" s="108"/>
      <c r="H10" s="109"/>
      <c r="I10" s="1"/>
    </row>
    <row r="11" spans="1:9" x14ac:dyDescent="0.45">
      <c r="A11" s="1"/>
      <c r="B11" s="110" t="s">
        <v>233</v>
      </c>
      <c r="C11" s="111"/>
      <c r="D11" s="111"/>
      <c r="E11" s="111"/>
      <c r="F11" s="112"/>
      <c r="G11" s="24">
        <f>(G5-G7)*(1+'Fane 14. Nøgletal'!C10)</f>
        <v>19212728.22315</v>
      </c>
      <c r="H11" s="14" t="s">
        <v>3</v>
      </c>
      <c r="I11" s="1"/>
    </row>
    <row r="12" spans="1:9" x14ac:dyDescent="0.45">
      <c r="A12" s="1"/>
      <c r="B12" s="110" t="s">
        <v>133</v>
      </c>
      <c r="C12" s="111"/>
      <c r="D12" s="111"/>
      <c r="E12" s="111"/>
      <c r="F12" s="112"/>
      <c r="G12" s="24">
        <v>-0.4524358685780317</v>
      </c>
      <c r="H12" s="14" t="s">
        <v>3</v>
      </c>
      <c r="I12" s="1"/>
    </row>
    <row r="13" spans="1:9" x14ac:dyDescent="0.45">
      <c r="A13" s="1"/>
      <c r="B13" s="85" t="s">
        <v>131</v>
      </c>
      <c r="C13" s="86"/>
      <c r="D13" s="86"/>
      <c r="E13" s="86"/>
      <c r="F13" s="87"/>
      <c r="G13" s="34">
        <v>0</v>
      </c>
      <c r="H13" s="14" t="s">
        <v>3</v>
      </c>
      <c r="I13" s="1"/>
    </row>
    <row r="14" spans="1:9" x14ac:dyDescent="0.45">
      <c r="A14" s="1"/>
      <c r="B14" s="113" t="s">
        <v>234</v>
      </c>
      <c r="C14" s="114"/>
      <c r="D14" s="114"/>
      <c r="E14" s="114"/>
      <c r="F14" s="115"/>
      <c r="G14" s="34">
        <v>0</v>
      </c>
      <c r="H14" s="14" t="s">
        <v>3</v>
      </c>
      <c r="I14" s="1"/>
    </row>
    <row r="15" spans="1:9" x14ac:dyDescent="0.45">
      <c r="A15" s="1"/>
      <c r="B15" s="110" t="s">
        <v>46</v>
      </c>
      <c r="C15" s="111"/>
      <c r="D15" s="111"/>
      <c r="E15" s="111"/>
      <c r="F15" s="112"/>
      <c r="G15" s="24">
        <f>SUM(G11:G14)*'Fane 14. Nøgletal'!C29</f>
        <v>384254.5554142826</v>
      </c>
      <c r="H15" s="14" t="s">
        <v>3</v>
      </c>
      <c r="I15" s="1"/>
    </row>
    <row r="16" spans="1:9" x14ac:dyDescent="0.45">
      <c r="A16" s="1"/>
      <c r="B16" s="36"/>
      <c r="C16" s="37"/>
      <c r="D16" s="37"/>
      <c r="E16" s="37"/>
      <c r="F16" s="37"/>
      <c r="G16" s="37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07" t="s">
        <v>54</v>
      </c>
      <c r="C18" s="108"/>
      <c r="D18" s="108"/>
      <c r="E18" s="108"/>
      <c r="F18" s="108"/>
      <c r="G18" s="108"/>
      <c r="H18" s="109"/>
      <c r="I18" s="1"/>
    </row>
    <row r="19" spans="1:9" x14ac:dyDescent="0.45">
      <c r="A19" s="1"/>
      <c r="B19" s="110" t="s">
        <v>47</v>
      </c>
      <c r="C19" s="111"/>
      <c r="D19" s="111"/>
      <c r="E19" s="111"/>
      <c r="F19" s="112"/>
      <c r="G19" s="24">
        <f>(G11+G12+G14-G15)*(1+'Fane 14. Nøgletal'!C10)</f>
        <v>19157971.496567596</v>
      </c>
      <c r="H19" s="14" t="s">
        <v>3</v>
      </c>
      <c r="I19" s="1"/>
    </row>
    <row r="20" spans="1:9" x14ac:dyDescent="0.45">
      <c r="A20" s="1"/>
      <c r="B20" s="113" t="s">
        <v>48</v>
      </c>
      <c r="C20" s="114"/>
      <c r="D20" s="114"/>
      <c r="E20" s="114"/>
      <c r="F20" s="115"/>
      <c r="G20" s="34">
        <v>0</v>
      </c>
      <c r="H20" s="14" t="s">
        <v>3</v>
      </c>
      <c r="I20" s="1"/>
    </row>
    <row r="21" spans="1:9" x14ac:dyDescent="0.45">
      <c r="A21" s="1"/>
      <c r="B21" s="110" t="s">
        <v>49</v>
      </c>
      <c r="C21" s="111"/>
      <c r="D21" s="111"/>
      <c r="E21" s="111"/>
      <c r="F21" s="112"/>
      <c r="G21" s="24">
        <f>(G19+G20)*'Fane 14. Nøgletal'!C29</f>
        <v>383159.42993135192</v>
      </c>
      <c r="H21" s="14" t="s">
        <v>3</v>
      </c>
      <c r="I21" s="1"/>
    </row>
    <row r="22" spans="1:9" x14ac:dyDescent="0.45">
      <c r="A22" s="1"/>
      <c r="B22" s="36"/>
      <c r="C22" s="37"/>
      <c r="D22" s="37"/>
      <c r="E22" s="37"/>
      <c r="F22" s="37"/>
      <c r="G22" s="37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07" t="s">
        <v>55</v>
      </c>
      <c r="C24" s="108"/>
      <c r="D24" s="108"/>
      <c r="E24" s="108"/>
      <c r="F24" s="108"/>
      <c r="G24" s="108"/>
      <c r="H24" s="109"/>
      <c r="I24" s="1"/>
    </row>
    <row r="25" spans="1:9" x14ac:dyDescent="0.45">
      <c r="A25" s="1"/>
      <c r="B25" s="110" t="s">
        <v>50</v>
      </c>
      <c r="C25" s="111"/>
      <c r="D25" s="111"/>
      <c r="E25" s="111"/>
      <c r="F25" s="112"/>
      <c r="G25" s="24">
        <f>G19*(1-'Fane 14. Nøgletal'!C29)*(1+'Fane 14. Nøgletal'!C10)+G20*(1-'Fane 14. Nøgletal'!C29)*(1+'Fane 14. Nøgletal'!C11)</f>
        <v>19103371.277802378</v>
      </c>
      <c r="H25" s="14" t="s">
        <v>3</v>
      </c>
      <c r="I25" s="1"/>
    </row>
    <row r="26" spans="1:9" x14ac:dyDescent="0.45">
      <c r="A26" s="1"/>
      <c r="B26" s="116" t="s">
        <v>235</v>
      </c>
      <c r="C26" s="117"/>
      <c r="D26" s="117"/>
      <c r="E26" s="117"/>
      <c r="F26" s="118"/>
      <c r="G26" s="34">
        <f>G20*(1-'Fane 14. Nøgletal'!C29)*(1+'Fane 14. Nøgletal'!C11)</f>
        <v>0</v>
      </c>
      <c r="H26" s="14" t="s">
        <v>3</v>
      </c>
      <c r="I26" s="1"/>
    </row>
    <row r="27" spans="1:9" x14ac:dyDescent="0.45">
      <c r="A27" s="1"/>
      <c r="B27" s="113" t="s">
        <v>51</v>
      </c>
      <c r="C27" s="114"/>
      <c r="D27" s="114"/>
      <c r="E27" s="114"/>
      <c r="F27" s="115"/>
      <c r="G27" s="34">
        <v>0</v>
      </c>
      <c r="H27" s="14" t="s">
        <v>3</v>
      </c>
      <c r="I27" s="1"/>
    </row>
    <row r="28" spans="1:9" x14ac:dyDescent="0.45">
      <c r="A28" s="1"/>
      <c r="B28" s="110" t="s">
        <v>52</v>
      </c>
      <c r="C28" s="111"/>
      <c r="D28" s="111"/>
      <c r="E28" s="111"/>
      <c r="F28" s="112"/>
      <c r="G28" s="24">
        <f>SUM(G25,G27)*'Fane 14. Nøgletal'!C29</f>
        <v>382067.42555604759</v>
      </c>
      <c r="H28" s="14" t="s">
        <v>3</v>
      </c>
      <c r="I28" s="1"/>
    </row>
    <row r="29" spans="1:9" x14ac:dyDescent="0.45">
      <c r="A29" s="1"/>
      <c r="B29" s="36"/>
      <c r="C29" s="37"/>
      <c r="D29" s="37"/>
      <c r="E29" s="37"/>
      <c r="F29" s="37"/>
      <c r="G29" s="37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07" t="s">
        <v>56</v>
      </c>
      <c r="C31" s="108"/>
      <c r="D31" s="108"/>
      <c r="E31" s="108"/>
      <c r="F31" s="108"/>
      <c r="G31" s="108"/>
      <c r="H31" s="109"/>
      <c r="I31" s="1"/>
    </row>
    <row r="32" spans="1:9" x14ac:dyDescent="0.45">
      <c r="A32" s="1"/>
      <c r="B32" s="110" t="s">
        <v>57</v>
      </c>
      <c r="C32" s="111"/>
      <c r="D32" s="111"/>
      <c r="E32" s="111"/>
      <c r="F32" s="112"/>
      <c r="G32" s="24">
        <f>(G25-G26)*(1-'Fane 14. Nøgletal'!C29)*(1+'Fane 14. Nøgletal'!C10)+G26*(1-'Fane 14. Nøgletal'!C29)*(1+'Fane 14. Nøgletal'!C11)+G27*(1-'Fane 14. Nøgletal'!C29)*(1+'Fane 14. Nøgletal'!C12)</f>
        <v>19048926.669660643</v>
      </c>
      <c r="H32" s="14" t="s">
        <v>3</v>
      </c>
      <c r="I32" s="1"/>
    </row>
    <row r="33" spans="1:9" x14ac:dyDescent="0.45">
      <c r="A33" s="1"/>
      <c r="B33" s="116" t="s">
        <v>235</v>
      </c>
      <c r="C33" s="114"/>
      <c r="D33" s="114"/>
      <c r="E33" s="114"/>
      <c r="F33" s="115"/>
      <c r="G33" s="34">
        <f>G26*(1-'Fane 14. Nøgletal'!C29)*(1+'Fane 14. Nøgletal'!C11)</f>
        <v>0</v>
      </c>
      <c r="H33" s="14" t="s">
        <v>3</v>
      </c>
      <c r="I33" s="1"/>
    </row>
    <row r="34" spans="1:9" x14ac:dyDescent="0.45">
      <c r="A34" s="1"/>
      <c r="B34" s="116" t="s">
        <v>130</v>
      </c>
      <c r="C34" s="114"/>
      <c r="D34" s="114"/>
      <c r="E34" s="114"/>
      <c r="F34" s="115"/>
      <c r="G34" s="34">
        <f>G27*(1-'Fane 14. Nøgletal'!C29)*(1+'Fane 14. Nøgletal'!C12)</f>
        <v>0</v>
      </c>
      <c r="H34" s="14" t="s">
        <v>3</v>
      </c>
      <c r="I34" s="1"/>
    </row>
    <row r="35" spans="1:9" x14ac:dyDescent="0.45">
      <c r="A35" s="1"/>
      <c r="B35" s="110" t="s">
        <v>159</v>
      </c>
      <c r="C35" s="111"/>
      <c r="D35" s="111"/>
      <c r="E35" s="111"/>
      <c r="F35" s="112"/>
      <c r="G35" s="24">
        <v>1171534.71478176</v>
      </c>
      <c r="H35" s="14" t="s">
        <v>3</v>
      </c>
      <c r="I35" s="1"/>
    </row>
    <row r="36" spans="1:9" x14ac:dyDescent="0.45">
      <c r="A36" s="1"/>
      <c r="B36" s="110" t="s">
        <v>58</v>
      </c>
      <c r="C36" s="111"/>
      <c r="D36" s="111"/>
      <c r="E36" s="111"/>
      <c r="F36" s="112"/>
      <c r="G36" s="24">
        <f>SUM(G32,G35)*'Fane 14. Nøgletal'!C29</f>
        <v>404409.2276888481</v>
      </c>
      <c r="H36" s="14" t="s">
        <v>3</v>
      </c>
      <c r="I36" s="1"/>
    </row>
    <row r="37" spans="1:9" x14ac:dyDescent="0.45">
      <c r="A37" s="1"/>
      <c r="B37" s="36"/>
      <c r="C37" s="37"/>
      <c r="D37" s="37"/>
      <c r="E37" s="37"/>
      <c r="F37" s="37"/>
      <c r="G37" s="37"/>
      <c r="H37" s="20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07" t="s">
        <v>191</v>
      </c>
      <c r="C39" s="108"/>
      <c r="D39" s="108"/>
      <c r="E39" s="108"/>
      <c r="F39" s="108"/>
      <c r="G39" s="108"/>
      <c r="H39" s="109"/>
      <c r="I39" s="1"/>
    </row>
    <row r="40" spans="1:9" x14ac:dyDescent="0.45">
      <c r="A40" s="1"/>
      <c r="B40" s="110" t="s">
        <v>245</v>
      </c>
      <c r="C40" s="111"/>
      <c r="D40" s="111"/>
      <c r="E40" s="111"/>
      <c r="F40" s="112"/>
      <c r="G40" s="24">
        <f>(SUM(G32,G35)-G36)*(1+'Fane 14. Nøgletal'!C14)</f>
        <v>19881445.128870845</v>
      </c>
      <c r="H40" s="14" t="s">
        <v>3</v>
      </c>
      <c r="I40" s="1"/>
    </row>
    <row r="41" spans="1:9" x14ac:dyDescent="0.45">
      <c r="A41" s="1"/>
      <c r="B41" s="110" t="s">
        <v>244</v>
      </c>
      <c r="C41" s="111"/>
      <c r="D41" s="111"/>
      <c r="E41" s="111"/>
      <c r="F41" s="112"/>
      <c r="G41" s="24">
        <f>(SUM('Fane 2.1. Økonomisk ramme 2022'!C10,'Fane 2.1. Økonomisk ramme 2022'!C12,'Fane 2.1. Økonomisk ramme 2022'!C14)*(1+'Fane 14. Nøgletal'!C14))</f>
        <v>299796.90814692003</v>
      </c>
      <c r="H41" s="14" t="s">
        <v>3</v>
      </c>
      <c r="I41" s="1"/>
    </row>
    <row r="42" spans="1:9" x14ac:dyDescent="0.45">
      <c r="A42" s="1"/>
      <c r="B42" s="110" t="s">
        <v>243</v>
      </c>
      <c r="C42" s="111"/>
      <c r="D42" s="111"/>
      <c r="E42" s="111"/>
      <c r="F42" s="112"/>
      <c r="G42" s="24">
        <f>(G40+G41)*'Fane 14. Nøgletal'!C29</f>
        <v>403624.84074035531</v>
      </c>
      <c r="H42" s="14" t="s">
        <v>3</v>
      </c>
      <c r="I42" s="1"/>
    </row>
    <row r="43" spans="1:9" x14ac:dyDescent="0.45">
      <c r="A43" s="1"/>
      <c r="B43" s="36"/>
      <c r="C43" s="37"/>
      <c r="D43" s="37"/>
      <c r="E43" s="37"/>
      <c r="F43" s="37"/>
      <c r="G43" s="37"/>
      <c r="H43" s="20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07" t="s">
        <v>223</v>
      </c>
      <c r="C45" s="108"/>
      <c r="D45" s="108"/>
      <c r="E45" s="108"/>
      <c r="F45" s="108"/>
      <c r="G45" s="108"/>
      <c r="H45" s="109"/>
      <c r="I45" s="1"/>
    </row>
    <row r="46" spans="1:9" x14ac:dyDescent="0.45">
      <c r="A46" s="1"/>
      <c r="B46" s="110" t="s">
        <v>256</v>
      </c>
      <c r="C46" s="111"/>
      <c r="D46" s="111"/>
      <c r="E46" s="111"/>
      <c r="F46" s="112"/>
      <c r="G46" s="24">
        <f>(G40+G41-G42)*(1+'Fane 14. Nøgletal'!C14)</f>
        <v>19842883.333025128</v>
      </c>
      <c r="H46" s="14" t="s">
        <v>3</v>
      </c>
      <c r="I46" s="1"/>
    </row>
    <row r="47" spans="1:9" x14ac:dyDescent="0.45">
      <c r="A47" s="1"/>
      <c r="B47" s="116" t="s">
        <v>258</v>
      </c>
      <c r="C47" s="114"/>
      <c r="D47" s="114"/>
      <c r="E47" s="114"/>
      <c r="F47" s="115"/>
      <c r="G47" s="24">
        <f>G41*(1+'Fane 14. Nøgletal'!C14)</f>
        <v>300786.23794380488</v>
      </c>
      <c r="H47" s="14" t="s">
        <v>3</v>
      </c>
      <c r="I47" s="1"/>
    </row>
    <row r="48" spans="1:9" x14ac:dyDescent="0.45">
      <c r="A48" s="1"/>
      <c r="B48" s="110" t="s">
        <v>81</v>
      </c>
      <c r="C48" s="111"/>
      <c r="D48" s="111"/>
      <c r="E48" s="111"/>
      <c r="F48" s="112"/>
      <c r="G48" s="34">
        <f>-'Fane 13. Bortfald'!C18*(1+'Fane 14. Nøgletal'!C14)</f>
        <v>0</v>
      </c>
      <c r="H48" s="14" t="s">
        <v>3</v>
      </c>
      <c r="I48" s="1"/>
    </row>
    <row r="49" spans="1:9" x14ac:dyDescent="0.45">
      <c r="A49" s="1"/>
      <c r="B49" s="110" t="s">
        <v>257</v>
      </c>
      <c r="C49" s="111"/>
      <c r="D49" s="111"/>
      <c r="E49" s="111"/>
      <c r="F49" s="112"/>
      <c r="G49" s="24">
        <f>(G46+G48)*'Fane 14. Nøgletal'!C29</f>
        <v>396857.66666050255</v>
      </c>
      <c r="H49" s="14" t="s">
        <v>3</v>
      </c>
      <c r="I49" s="1"/>
    </row>
    <row r="50" spans="1:9" x14ac:dyDescent="0.45">
      <c r="A50" s="1"/>
      <c r="B50" s="36"/>
      <c r="C50" s="37"/>
      <c r="D50" s="37"/>
      <c r="E50" s="37"/>
      <c r="F50" s="37"/>
      <c r="G50" s="37"/>
      <c r="H50" s="20"/>
      <c r="I50" s="1"/>
    </row>
    <row r="51" spans="1:9" x14ac:dyDescent="0.4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45">
      <c r="A52" s="1"/>
      <c r="B52" s="35"/>
      <c r="C52" s="35"/>
      <c r="D52" s="35"/>
      <c r="E52" s="35"/>
      <c r="F52" s="35"/>
      <c r="G52" s="35"/>
      <c r="H52" s="35"/>
      <c r="I52" s="1"/>
    </row>
    <row r="53" spans="1:9" x14ac:dyDescent="0.45">
      <c r="A53" s="1"/>
      <c r="B53" s="107" t="s">
        <v>160</v>
      </c>
      <c r="C53" s="108"/>
      <c r="D53" s="108"/>
      <c r="E53" s="108"/>
      <c r="F53" s="108"/>
      <c r="G53" s="108"/>
      <c r="H53" s="109"/>
      <c r="I53" s="1"/>
    </row>
    <row r="54" spans="1:9" x14ac:dyDescent="0.45">
      <c r="A54" s="1"/>
      <c r="B54" s="110" t="s">
        <v>161</v>
      </c>
      <c r="C54" s="111"/>
      <c r="D54" s="111"/>
      <c r="E54" s="111"/>
      <c r="F54" s="112"/>
      <c r="G54" s="24">
        <f>(G46+G48-G49)*(1+'Fane 14. Nøgletal'!C14)</f>
        <v>19510197.551063631</v>
      </c>
      <c r="H54" s="14" t="s">
        <v>3</v>
      </c>
      <c r="I54" s="1"/>
    </row>
    <row r="55" spans="1:9" x14ac:dyDescent="0.45">
      <c r="A55" s="1"/>
      <c r="B55" s="110" t="s">
        <v>162</v>
      </c>
      <c r="C55" s="111"/>
      <c r="D55" s="111"/>
      <c r="E55" s="111"/>
      <c r="F55" s="112"/>
      <c r="G55" s="34">
        <f>-'Fane 13. Bortfald'!C24*(1+'Fane 14. Nøgletal'!C14)</f>
        <v>0</v>
      </c>
      <c r="H55" s="14" t="s">
        <v>3</v>
      </c>
      <c r="I55" s="1"/>
    </row>
    <row r="56" spans="1:9" x14ac:dyDescent="0.45">
      <c r="A56" s="1"/>
      <c r="B56" s="110" t="s">
        <v>163</v>
      </c>
      <c r="C56" s="111"/>
      <c r="D56" s="111"/>
      <c r="E56" s="111"/>
      <c r="F56" s="112"/>
      <c r="G56" s="24">
        <f>(G54+G55)*'Fane 14. Nøgletal'!C29</f>
        <v>390203.95102127263</v>
      </c>
      <c r="H56" s="14" t="s">
        <v>3</v>
      </c>
      <c r="I56" s="1"/>
    </row>
    <row r="57" spans="1:9" x14ac:dyDescent="0.45">
      <c r="A57" s="1"/>
      <c r="B57" s="36"/>
      <c r="C57" s="37"/>
      <c r="D57" s="37"/>
      <c r="E57" s="37"/>
      <c r="F57" s="37"/>
      <c r="G57" s="37"/>
      <c r="H57" s="20"/>
      <c r="I57" s="1"/>
    </row>
    <row r="58" spans="1:9" x14ac:dyDescent="0.4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5">
      <c r="A59" s="1"/>
      <c r="B59" s="52" t="s">
        <v>224</v>
      </c>
      <c r="C59" s="53"/>
      <c r="D59" s="53"/>
      <c r="E59" s="53"/>
      <c r="F59" s="53"/>
      <c r="G59" s="53"/>
      <c r="H59" s="54"/>
      <c r="I59" s="1"/>
    </row>
    <row r="60" spans="1:9" x14ac:dyDescent="0.45">
      <c r="A60" s="1"/>
      <c r="B60" s="55" t="s">
        <v>236</v>
      </c>
      <c r="C60" s="56"/>
      <c r="D60" s="56"/>
      <c r="E60" s="56"/>
      <c r="F60" s="57"/>
      <c r="G60" s="24">
        <f>(G54+G55-G56)*(1+'Fane 14. Nøgletal'!C14)</f>
        <v>19183089.578922499</v>
      </c>
      <c r="H60" s="14" t="s">
        <v>3</v>
      </c>
      <c r="I60" s="1"/>
    </row>
    <row r="61" spans="1:9" x14ac:dyDescent="0.45">
      <c r="A61" s="1"/>
      <c r="B61" s="55" t="s">
        <v>237</v>
      </c>
      <c r="C61" s="56"/>
      <c r="D61" s="56"/>
      <c r="E61" s="56"/>
      <c r="F61" s="57"/>
      <c r="G61" s="34">
        <f>-'Fane 13. Bortfald'!C30*(1+'Fane 14. Nøgletal'!C14)</f>
        <v>0</v>
      </c>
      <c r="H61" s="14" t="s">
        <v>3</v>
      </c>
      <c r="I61" s="1"/>
    </row>
    <row r="62" spans="1:9" x14ac:dyDescent="0.45">
      <c r="A62" s="1"/>
      <c r="B62" s="55" t="s">
        <v>238</v>
      </c>
      <c r="C62" s="56"/>
      <c r="D62" s="56"/>
      <c r="E62" s="56"/>
      <c r="F62" s="57"/>
      <c r="G62" s="24">
        <f>(G60+G61)*'Fane 14. Nøgletal'!C29</f>
        <v>383661.79157845001</v>
      </c>
      <c r="H62" s="14" t="s">
        <v>3</v>
      </c>
      <c r="I62" s="1"/>
    </row>
    <row r="63" spans="1:9" x14ac:dyDescent="0.45">
      <c r="A63" s="1"/>
      <c r="B63" s="36"/>
      <c r="C63" s="37"/>
      <c r="D63" s="37"/>
      <c r="E63" s="37"/>
      <c r="F63" s="37"/>
      <c r="G63" s="37"/>
      <c r="H63" s="20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FpAPtyNIBkS9qsBdZF0X2Z+ERUf009Bm3M7Du3BuYBnd/+LmyXR+5c7H/CTQVFzD5p4ILbYYae4n7/mWY6FARg==" saltValue="AMiAHkTDOEg4KWpQMU9OcA==" spinCount="100000" sheet="1" objects="1" scenarios="1"/>
  <mergeCells count="39">
    <mergeCell ref="B41:F41"/>
    <mergeCell ref="B47:F47"/>
    <mergeCell ref="B53:H53"/>
    <mergeCell ref="B54:F54"/>
    <mergeCell ref="B55:F55"/>
    <mergeCell ref="B56:F56"/>
    <mergeCell ref="B12:F12"/>
    <mergeCell ref="B28:F28"/>
    <mergeCell ref="B36:F36"/>
    <mergeCell ref="B45:H45"/>
    <mergeCell ref="B46:F46"/>
    <mergeCell ref="B49:F49"/>
    <mergeCell ref="B48:F48"/>
    <mergeCell ref="B39:H39"/>
    <mergeCell ref="B42:F42"/>
    <mergeCell ref="B40:F40"/>
    <mergeCell ref="B13:F13"/>
    <mergeCell ref="B35:F35"/>
    <mergeCell ref="B26:F26"/>
    <mergeCell ref="B33:F33"/>
    <mergeCell ref="B34:F34"/>
    <mergeCell ref="B1:H3"/>
    <mergeCell ref="B4:H4"/>
    <mergeCell ref="B5:F5"/>
    <mergeCell ref="B7:F7"/>
    <mergeCell ref="B11:F11"/>
    <mergeCell ref="B10:H10"/>
    <mergeCell ref="B6:F6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9.597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119" t="s">
        <v>120</v>
      </c>
      <c r="C2" s="119"/>
      <c r="D2" s="119"/>
      <c r="E2" s="119"/>
      <c r="F2" s="119"/>
      <c r="G2" s="119"/>
      <c r="H2" s="119"/>
      <c r="I2" s="1"/>
    </row>
    <row r="3" spans="1:9" ht="28.5" customHeight="1" x14ac:dyDescent="0.45">
      <c r="A3" s="1"/>
      <c r="B3" s="119"/>
      <c r="C3" s="119"/>
      <c r="D3" s="119"/>
      <c r="E3" s="119"/>
      <c r="F3" s="119"/>
      <c r="G3" s="119"/>
      <c r="H3" s="119"/>
      <c r="I3" s="1"/>
    </row>
    <row r="4" spans="1:9" ht="18" x14ac:dyDescent="0.55000000000000004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45">
      <c r="A5" s="1"/>
      <c r="B5" s="107" t="s">
        <v>246</v>
      </c>
      <c r="C5" s="108"/>
      <c r="D5" s="108"/>
      <c r="E5" s="108"/>
      <c r="F5" s="108"/>
      <c r="G5" s="108"/>
      <c r="H5" s="109"/>
      <c r="I5" s="1"/>
    </row>
    <row r="6" spans="1:9" x14ac:dyDescent="0.45">
      <c r="A6" s="1"/>
      <c r="B6" s="110" t="s">
        <v>247</v>
      </c>
      <c r="C6" s="111"/>
      <c r="D6" s="111"/>
      <c r="E6" s="111"/>
      <c r="F6" s="112"/>
      <c r="G6" s="24">
        <v>89658264</v>
      </c>
      <c r="H6" s="14" t="s">
        <v>3</v>
      </c>
      <c r="I6" s="1"/>
    </row>
    <row r="7" spans="1:9" x14ac:dyDescent="0.45">
      <c r="A7" s="1"/>
      <c r="B7" s="110" t="s">
        <v>239</v>
      </c>
      <c r="C7" s="111"/>
      <c r="D7" s="111"/>
      <c r="E7" s="111"/>
      <c r="F7" s="112"/>
      <c r="G7" s="24">
        <f>G6*'Fane 14. Nøgletal'!C19</f>
        <v>815890.20240000007</v>
      </c>
      <c r="H7" s="14" t="s">
        <v>3</v>
      </c>
      <c r="I7" s="1"/>
    </row>
    <row r="8" spans="1:9" x14ac:dyDescent="0.4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07" t="s">
        <v>59</v>
      </c>
      <c r="C10" s="108"/>
      <c r="D10" s="108"/>
      <c r="E10" s="108"/>
      <c r="F10" s="108"/>
      <c r="G10" s="108"/>
      <c r="H10" s="109"/>
      <c r="I10" s="1"/>
    </row>
    <row r="11" spans="1:9" x14ac:dyDescent="0.45">
      <c r="A11" s="1"/>
      <c r="B11" s="110" t="s">
        <v>248</v>
      </c>
      <c r="C11" s="111"/>
      <c r="D11" s="111"/>
      <c r="E11" s="111"/>
      <c r="F11" s="112"/>
      <c r="G11" s="24">
        <f>(G6-G7)*(1+'Fane 14. Nøgletal'!C10)</f>
        <v>90397115.339058012</v>
      </c>
      <c r="H11" s="14" t="s">
        <v>3</v>
      </c>
      <c r="I11" s="1"/>
    </row>
    <row r="12" spans="1:9" x14ac:dyDescent="0.45">
      <c r="A12" s="1"/>
      <c r="B12" s="110" t="s">
        <v>134</v>
      </c>
      <c r="C12" s="111"/>
      <c r="D12" s="111"/>
      <c r="E12" s="111"/>
      <c r="F12" s="112"/>
      <c r="G12" s="24">
        <v>-166763.23263240879</v>
      </c>
      <c r="H12" s="14" t="s">
        <v>3</v>
      </c>
      <c r="I12" s="1"/>
    </row>
    <row r="13" spans="1:9" x14ac:dyDescent="0.45">
      <c r="A13" s="1"/>
      <c r="B13" s="113" t="s">
        <v>249</v>
      </c>
      <c r="C13" s="114"/>
      <c r="D13" s="114"/>
      <c r="E13" s="114"/>
      <c r="F13" s="115"/>
      <c r="G13" s="34">
        <v>0</v>
      </c>
      <c r="H13" s="14" t="s">
        <v>3</v>
      </c>
      <c r="I13" s="1"/>
    </row>
    <row r="14" spans="1:9" x14ac:dyDescent="0.45">
      <c r="A14" s="1"/>
      <c r="B14" s="110" t="s">
        <v>60</v>
      </c>
      <c r="C14" s="111"/>
      <c r="D14" s="111"/>
      <c r="E14" s="111"/>
      <c r="F14" s="112"/>
      <c r="G14" s="24">
        <f>SUM(G11:G13)*'Fane 14. Nøgletal'!C20</f>
        <v>1597077.2322837331</v>
      </c>
      <c r="H14" s="14" t="s">
        <v>3</v>
      </c>
      <c r="I14" s="1"/>
    </row>
    <row r="15" spans="1:9" x14ac:dyDescent="0.45">
      <c r="A15" s="1"/>
      <c r="B15" s="36"/>
      <c r="C15" s="37"/>
      <c r="D15" s="37"/>
      <c r="E15" s="37"/>
      <c r="F15" s="37"/>
      <c r="G15" s="37"/>
      <c r="H15" s="20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07" t="s">
        <v>61</v>
      </c>
      <c r="C17" s="108"/>
      <c r="D17" s="108"/>
      <c r="E17" s="108"/>
      <c r="F17" s="108"/>
      <c r="G17" s="108"/>
      <c r="H17" s="109"/>
      <c r="I17" s="1"/>
    </row>
    <row r="18" spans="1:9" x14ac:dyDescent="0.45">
      <c r="A18" s="1"/>
      <c r="B18" s="110" t="s">
        <v>62</v>
      </c>
      <c r="C18" s="111"/>
      <c r="D18" s="111"/>
      <c r="E18" s="111"/>
      <c r="F18" s="112"/>
      <c r="G18" s="24">
        <f>(G11+G12+G13-G14)*(1+'Fane 14. Nøgletal'!C10)</f>
        <v>90184357.184439361</v>
      </c>
      <c r="H18" s="14" t="s">
        <v>3</v>
      </c>
      <c r="I18" s="1"/>
    </row>
    <row r="19" spans="1:9" x14ac:dyDescent="0.45">
      <c r="A19" s="1"/>
      <c r="B19" s="113" t="s">
        <v>63</v>
      </c>
      <c r="C19" s="114"/>
      <c r="D19" s="114"/>
      <c r="E19" s="114"/>
      <c r="F19" s="115"/>
      <c r="G19" s="24">
        <v>1197261.2170011697</v>
      </c>
      <c r="H19" s="14" t="s">
        <v>3</v>
      </c>
      <c r="I19" s="1"/>
    </row>
    <row r="20" spans="1:9" x14ac:dyDescent="0.45">
      <c r="A20" s="1"/>
      <c r="B20" s="110" t="s">
        <v>64</v>
      </c>
      <c r="C20" s="111"/>
      <c r="D20" s="111"/>
      <c r="E20" s="111"/>
      <c r="F20" s="112"/>
      <c r="G20" s="24">
        <f>G18*'Fane 14. Nøgletal'!C20+G19*'Fane 14. Nøgletal'!C21</f>
        <v>1606679.294752487</v>
      </c>
      <c r="H20" s="14" t="s">
        <v>3</v>
      </c>
      <c r="I20" s="1"/>
    </row>
    <row r="21" spans="1:9" x14ac:dyDescent="0.45">
      <c r="A21" s="1"/>
      <c r="B21" s="36"/>
      <c r="C21" s="37"/>
      <c r="D21" s="37"/>
      <c r="E21" s="37"/>
      <c r="F21" s="37"/>
      <c r="G21" s="37"/>
      <c r="H21" s="20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07" t="s">
        <v>222</v>
      </c>
      <c r="C23" s="108"/>
      <c r="D23" s="108"/>
      <c r="E23" s="108"/>
      <c r="F23" s="108"/>
      <c r="G23" s="108"/>
      <c r="H23" s="109"/>
      <c r="I23" s="1"/>
    </row>
    <row r="24" spans="1:9" x14ac:dyDescent="0.45">
      <c r="A24" s="1"/>
      <c r="B24" s="110" t="s">
        <v>65</v>
      </c>
      <c r="C24" s="111"/>
      <c r="D24" s="111"/>
      <c r="E24" s="111"/>
      <c r="F24" s="112"/>
      <c r="G24" s="24">
        <f>G18*(1-'Fane 14. Nøgletal'!C20)*(1+'Fane 14. Nøgletal'!C10)+G19*(1-'Fane 14. Nøgletal'!C21)*(1+'Fane 14. Nøgletal'!C11)</f>
        <v>91345288.434028447</v>
      </c>
      <c r="H24" s="14" t="s">
        <v>3</v>
      </c>
      <c r="I24" s="1"/>
    </row>
    <row r="25" spans="1:9" x14ac:dyDescent="0.45">
      <c r="A25" s="1"/>
      <c r="B25" s="116" t="s">
        <v>250</v>
      </c>
      <c r="C25" s="114"/>
      <c r="D25" s="114"/>
      <c r="E25" s="114"/>
      <c r="F25" s="115"/>
      <c r="G25" s="24">
        <f>G19*(1-'Fane 14. Nøgletal'!C21)*(1+'Fane 14. Nøgletal'!C11)</f>
        <v>1206902.7256638436</v>
      </c>
      <c r="H25" s="14" t="s">
        <v>3</v>
      </c>
      <c r="I25" s="1"/>
    </row>
    <row r="26" spans="1:9" x14ac:dyDescent="0.45">
      <c r="A26" s="1"/>
      <c r="B26" s="113" t="s">
        <v>66</v>
      </c>
      <c r="C26" s="114"/>
      <c r="D26" s="114"/>
      <c r="E26" s="114"/>
      <c r="F26" s="115"/>
      <c r="G26" s="24">
        <v>331905.895407537</v>
      </c>
      <c r="H26" s="14" t="s">
        <v>3</v>
      </c>
      <c r="I26" s="1"/>
    </row>
    <row r="27" spans="1:9" x14ac:dyDescent="0.45">
      <c r="A27" s="1"/>
      <c r="B27" s="110" t="s">
        <v>67</v>
      </c>
      <c r="C27" s="111"/>
      <c r="D27" s="111"/>
      <c r="E27" s="111"/>
      <c r="F27" s="112"/>
      <c r="G27" s="24">
        <f>(G24-G25)*'Fane 14. Nøgletal'!C21+G25*'Fane 14. Nøgletal'!C22+G26*'Fane 14. Nøgletal'!C23</f>
        <v>827607.40519533248</v>
      </c>
      <c r="H27" s="14" t="s">
        <v>3</v>
      </c>
      <c r="I27" s="1"/>
    </row>
    <row r="28" spans="1:9" x14ac:dyDescent="0.45">
      <c r="A28" s="1"/>
      <c r="B28" s="36"/>
      <c r="C28" s="37"/>
      <c r="D28" s="37"/>
      <c r="E28" s="37"/>
      <c r="F28" s="37"/>
      <c r="G28" s="37"/>
      <c r="H28" s="20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07" t="s">
        <v>68</v>
      </c>
      <c r="C30" s="108"/>
      <c r="D30" s="108"/>
      <c r="E30" s="108"/>
      <c r="F30" s="108"/>
      <c r="G30" s="108"/>
      <c r="H30" s="109"/>
      <c r="I30" s="1"/>
    </row>
    <row r="31" spans="1:9" x14ac:dyDescent="0.45">
      <c r="A31" s="1"/>
      <c r="B31" s="110" t="s">
        <v>69</v>
      </c>
      <c r="C31" s="111"/>
      <c r="D31" s="111"/>
      <c r="E31" s="111"/>
      <c r="F31" s="112"/>
      <c r="G31" s="24">
        <f>(G24-G25)*(1-'Fane 14. Nøgletal'!C20)*(1+'Fane 14. Nøgletal'!C10)+G25*(1-'Fane 14. Nøgletal'!C21)*(1+'Fane 14. Nøgletal'!C11)+G26*(1-'Fane 14. Nøgletal'!C22)*(1+'Fane 14. Nøgletal'!C12)</f>
        <v>91637892.162763432</v>
      </c>
      <c r="H31" s="14" t="s">
        <v>3</v>
      </c>
      <c r="I31" s="1"/>
    </row>
    <row r="32" spans="1:9" x14ac:dyDescent="0.45">
      <c r="A32" s="1"/>
      <c r="B32" s="116" t="s">
        <v>251</v>
      </c>
      <c r="C32" s="114"/>
      <c r="D32" s="114"/>
      <c r="E32" s="114"/>
      <c r="F32" s="115"/>
      <c r="G32" s="24">
        <f>G25*(1-'Fane 14. Nøgletal'!C21)*(1+'Fane 14. Nøgletal'!C11)</f>
        <v>1216621.8771065325</v>
      </c>
      <c r="H32" s="14" t="s">
        <v>3</v>
      </c>
      <c r="I32" s="1"/>
    </row>
    <row r="33" spans="1:9" x14ac:dyDescent="0.45">
      <c r="A33" s="1"/>
      <c r="B33" s="116" t="s">
        <v>129</v>
      </c>
      <c r="C33" s="114"/>
      <c r="D33" s="114"/>
      <c r="E33" s="114"/>
      <c r="F33" s="115"/>
      <c r="G33" s="24">
        <f>G26*(1-'Fane 14. Nøgletal'!C22)*(1+'Fane 14. Nøgletal'!C12)</f>
        <v>328832.61940712883</v>
      </c>
      <c r="H33" s="14" t="s">
        <v>3</v>
      </c>
      <c r="I33" s="1"/>
    </row>
    <row r="34" spans="1:9" x14ac:dyDescent="0.45">
      <c r="A34" s="1"/>
      <c r="B34" s="110" t="s">
        <v>164</v>
      </c>
      <c r="C34" s="111"/>
      <c r="D34" s="111"/>
      <c r="E34" s="111"/>
      <c r="F34" s="112"/>
      <c r="G34" s="24">
        <v>1058655.04633476</v>
      </c>
      <c r="H34" s="14" t="s">
        <v>3</v>
      </c>
      <c r="I34" s="1"/>
    </row>
    <row r="35" spans="1:9" x14ac:dyDescent="0.45">
      <c r="A35" s="1"/>
      <c r="B35" s="110" t="s">
        <v>70</v>
      </c>
      <c r="C35" s="111"/>
      <c r="D35" s="111"/>
      <c r="E35" s="111"/>
      <c r="F35" s="112"/>
      <c r="G35" s="24">
        <f>(G31-SUM(G32:G33))*'Fane 14. Nøgletal'!C20+G32*'Fane 14. Nøgletal'!C21+G33*'Fane 14. Nøgletal'!C22+G34*'Fane 14. Nøgletal'!C23</f>
        <v>1643672.617188816</v>
      </c>
      <c r="H35" s="14" t="s">
        <v>3</v>
      </c>
      <c r="I35" s="1"/>
    </row>
    <row r="36" spans="1:9" x14ac:dyDescent="0.45">
      <c r="A36" s="1"/>
      <c r="B36" s="36"/>
      <c r="C36" s="37"/>
      <c r="D36" s="37"/>
      <c r="E36" s="37"/>
      <c r="F36" s="37"/>
      <c r="G36" s="37"/>
      <c r="H36" s="20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07" t="s">
        <v>192</v>
      </c>
      <c r="C38" s="108"/>
      <c r="D38" s="108"/>
      <c r="E38" s="108"/>
      <c r="F38" s="108"/>
      <c r="G38" s="108"/>
      <c r="H38" s="109"/>
      <c r="I38" s="1"/>
    </row>
    <row r="39" spans="1:9" x14ac:dyDescent="0.45">
      <c r="A39" s="1"/>
      <c r="B39" s="110" t="s">
        <v>252</v>
      </c>
      <c r="C39" s="111"/>
      <c r="D39" s="111"/>
      <c r="E39" s="111"/>
      <c r="F39" s="112"/>
      <c r="G39" s="24">
        <f>(SUM(G31,G34)-G35)*(1+'Fane 14. Nøgletal'!C14)</f>
        <v>91353349.078062683</v>
      </c>
      <c r="H39" s="14" t="s">
        <v>3</v>
      </c>
      <c r="I39" s="1"/>
    </row>
    <row r="40" spans="1:9" x14ac:dyDescent="0.45">
      <c r="A40" s="1"/>
      <c r="B40" s="110" t="s">
        <v>193</v>
      </c>
      <c r="C40" s="111"/>
      <c r="D40" s="111"/>
      <c r="E40" s="111"/>
      <c r="F40" s="112"/>
      <c r="G40" s="24">
        <f>SUM('Fane 2.1. Økonomisk ramme 2022'!C11,'Fane 2.1. Økonomisk ramme 2022'!C13,'Fane 2.1. Økonomisk ramme 2022'!C15)*(1+'Fane 14. Nøgletal'!C14)</f>
        <v>4567278.3419798966</v>
      </c>
      <c r="H40" s="14" t="s">
        <v>3</v>
      </c>
      <c r="I40" s="1"/>
    </row>
    <row r="41" spans="1:9" x14ac:dyDescent="0.45">
      <c r="A41" s="1"/>
      <c r="B41" s="110" t="s">
        <v>194</v>
      </c>
      <c r="C41" s="111"/>
      <c r="D41" s="111"/>
      <c r="E41" s="111"/>
      <c r="F41" s="112"/>
      <c r="G41" s="24">
        <f>(G39+G40)*'Fane 14. Nøgletal'!C24</f>
        <v>1419625.2858166301</v>
      </c>
      <c r="H41" s="14" t="s">
        <v>3</v>
      </c>
      <c r="I41" s="1"/>
    </row>
    <row r="42" spans="1:9" x14ac:dyDescent="0.45">
      <c r="A42" s="1"/>
      <c r="B42" s="36"/>
      <c r="C42" s="37"/>
      <c r="D42" s="37"/>
      <c r="E42" s="37"/>
      <c r="F42" s="37"/>
      <c r="G42" s="37"/>
      <c r="H42" s="20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07" t="s">
        <v>253</v>
      </c>
      <c r="C44" s="108"/>
      <c r="D44" s="108"/>
      <c r="E44" s="108"/>
      <c r="F44" s="108"/>
      <c r="G44" s="108"/>
      <c r="H44" s="109"/>
      <c r="I44" s="1"/>
    </row>
    <row r="45" spans="1:9" x14ac:dyDescent="0.45">
      <c r="A45" s="1"/>
      <c r="B45" s="110" t="s">
        <v>71</v>
      </c>
      <c r="C45" s="111"/>
      <c r="D45" s="111"/>
      <c r="E45" s="111"/>
      <c r="F45" s="112"/>
      <c r="G45" s="24">
        <f>(G39+G40-G41)*(1+'Fane 14. Nøgletal'!C14)</f>
        <v>94812855.441268906</v>
      </c>
      <c r="H45" s="14" t="s">
        <v>3</v>
      </c>
      <c r="I45" s="1"/>
    </row>
    <row r="46" spans="1:9" x14ac:dyDescent="0.45">
      <c r="A46" s="1"/>
      <c r="B46" s="116" t="s">
        <v>260</v>
      </c>
      <c r="C46" s="114"/>
      <c r="D46" s="114"/>
      <c r="E46" s="114"/>
      <c r="F46" s="115"/>
      <c r="G46" s="24">
        <f>G40*(1+'Fane 14. Nøgletal'!C14)</f>
        <v>4582350.3605084307</v>
      </c>
      <c r="H46" s="14" t="s">
        <v>3</v>
      </c>
      <c r="I46" s="1"/>
    </row>
    <row r="47" spans="1:9" x14ac:dyDescent="0.45">
      <c r="A47" s="1"/>
      <c r="B47" s="110" t="s">
        <v>85</v>
      </c>
      <c r="C47" s="111"/>
      <c r="D47" s="111"/>
      <c r="E47" s="111"/>
      <c r="F47" s="112"/>
      <c r="G47" s="34">
        <f>-'Fane 13. Bortfald'!E18*(1+'Fane 14. Nøgletal'!C14)</f>
        <v>0</v>
      </c>
      <c r="H47" s="14" t="s">
        <v>3</v>
      </c>
      <c r="I47" s="1"/>
    </row>
    <row r="48" spans="1:9" x14ac:dyDescent="0.45">
      <c r="A48" s="1"/>
      <c r="B48" s="110" t="s">
        <v>259</v>
      </c>
      <c r="C48" s="111"/>
      <c r="D48" s="111"/>
      <c r="E48" s="111"/>
      <c r="F48" s="112"/>
      <c r="G48" s="24">
        <f>(G45+G47)*'Fane 14. Nøgletal'!C24</f>
        <v>1403230.2605307798</v>
      </c>
      <c r="H48" s="14" t="s">
        <v>3</v>
      </c>
      <c r="I48" s="1"/>
    </row>
    <row r="49" spans="1:9" x14ac:dyDescent="0.45">
      <c r="A49" s="1"/>
      <c r="B49" s="36"/>
      <c r="C49" s="37"/>
      <c r="D49" s="37"/>
      <c r="E49" s="37"/>
      <c r="F49" s="37"/>
      <c r="G49" s="37"/>
      <c r="H49" s="20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07" t="s">
        <v>165</v>
      </c>
      <c r="C51" s="108"/>
      <c r="D51" s="108"/>
      <c r="E51" s="108"/>
      <c r="F51" s="108"/>
      <c r="G51" s="108"/>
      <c r="H51" s="109"/>
      <c r="I51" s="1"/>
    </row>
    <row r="52" spans="1:9" x14ac:dyDescent="0.45">
      <c r="A52" s="1"/>
      <c r="B52" s="110" t="s">
        <v>166</v>
      </c>
      <c r="C52" s="111"/>
      <c r="D52" s="111"/>
      <c r="E52" s="111"/>
      <c r="F52" s="112"/>
      <c r="G52" s="24">
        <f>(G45+G47-G48)*(1+'Fane 14. Nøgletal'!C14)</f>
        <v>93717876.943834558</v>
      </c>
      <c r="H52" s="14" t="s">
        <v>3</v>
      </c>
      <c r="I52" s="1"/>
    </row>
    <row r="53" spans="1:9" x14ac:dyDescent="0.45">
      <c r="A53" s="1"/>
      <c r="B53" s="110" t="s">
        <v>167</v>
      </c>
      <c r="C53" s="111"/>
      <c r="D53" s="111"/>
      <c r="E53" s="111"/>
      <c r="F53" s="112"/>
      <c r="G53" s="34">
        <f>-'Fane 13. Bortfald'!E24*(1+'Fane 14. Nøgletal'!C14)</f>
        <v>0</v>
      </c>
      <c r="H53" s="14" t="s">
        <v>3</v>
      </c>
      <c r="I53" s="1"/>
    </row>
    <row r="54" spans="1:9" x14ac:dyDescent="0.45">
      <c r="A54" s="1"/>
      <c r="B54" s="110" t="s">
        <v>168</v>
      </c>
      <c r="C54" s="111"/>
      <c r="D54" s="111"/>
      <c r="E54" s="111"/>
      <c r="F54" s="112"/>
      <c r="G54" s="24">
        <f>(G52+G53)*'Fane 14. Nøgletal'!C24</f>
        <v>1387024.5787687516</v>
      </c>
      <c r="H54" s="14" t="s">
        <v>3</v>
      </c>
      <c r="I54" s="1"/>
    </row>
    <row r="55" spans="1:9" x14ac:dyDescent="0.45">
      <c r="A55" s="1"/>
      <c r="B55" s="36"/>
      <c r="C55" s="37"/>
      <c r="D55" s="37"/>
      <c r="E55" s="37"/>
      <c r="F55" s="37"/>
      <c r="G55" s="37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07" t="s">
        <v>225</v>
      </c>
      <c r="C57" s="108"/>
      <c r="D57" s="108"/>
      <c r="E57" s="108"/>
      <c r="F57" s="108"/>
      <c r="G57" s="108"/>
      <c r="H57" s="109"/>
      <c r="I57" s="1"/>
    </row>
    <row r="58" spans="1:9" x14ac:dyDescent="0.45">
      <c r="A58" s="1"/>
      <c r="B58" s="110" t="s">
        <v>166</v>
      </c>
      <c r="C58" s="111"/>
      <c r="D58" s="111"/>
      <c r="E58" s="111"/>
      <c r="F58" s="112"/>
      <c r="G58" s="24">
        <f>(G52+G53-G54)*(1+'Fane 14. Nøgletal'!C14)</f>
        <v>92635544.177870542</v>
      </c>
      <c r="H58" s="14" t="s">
        <v>3</v>
      </c>
      <c r="I58" s="1"/>
    </row>
    <row r="59" spans="1:9" x14ac:dyDescent="0.45">
      <c r="A59" s="1"/>
      <c r="B59" s="110" t="s">
        <v>254</v>
      </c>
      <c r="C59" s="111"/>
      <c r="D59" s="111"/>
      <c r="E59" s="111"/>
      <c r="F59" s="112"/>
      <c r="G59" s="34">
        <f>-'Fane 13. Bortfald'!E30*(1+'Fane 14. Nøgletal'!C21)</f>
        <v>0</v>
      </c>
      <c r="H59" s="14" t="s">
        <v>3</v>
      </c>
      <c r="I59" s="1"/>
    </row>
    <row r="60" spans="1:9" x14ac:dyDescent="0.45">
      <c r="A60" s="1"/>
      <c r="B60" s="110" t="s">
        <v>255</v>
      </c>
      <c r="C60" s="111"/>
      <c r="D60" s="111"/>
      <c r="E60" s="111"/>
      <c r="F60" s="112"/>
      <c r="G60" s="24">
        <f>(G58+G59)*'Fane 14. Nøgletal'!C24</f>
        <v>1371006.0538324842</v>
      </c>
      <c r="H60" s="14" t="s">
        <v>3</v>
      </c>
      <c r="I60" s="1"/>
    </row>
    <row r="61" spans="1:9" x14ac:dyDescent="0.45">
      <c r="A61" s="1"/>
      <c r="B61" s="36"/>
      <c r="C61" s="37"/>
      <c r="D61" s="37"/>
      <c r="E61" s="37"/>
      <c r="F61" s="37"/>
      <c r="G61" s="37"/>
      <c r="H61" s="20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yvOTAs3gwDqC0kHl0vD8WV5jYxfHnLSRQYnXtOwyckGMRagWOLjMRWzgLv9e+JbjI0KrR6/d5lBVCAXAheNt2Q==" saltValue="mnbjy6QrbAT7g0H39kCY0g==" spinCount="100000" sheet="1" objects="1" scenarios="1"/>
  <mergeCells count="41">
    <mergeCell ref="B57:H57"/>
    <mergeCell ref="B45:F45"/>
    <mergeCell ref="B58:F58"/>
    <mergeCell ref="B59:F59"/>
    <mergeCell ref="B60:F60"/>
    <mergeCell ref="B46:F46"/>
    <mergeCell ref="B47:F47"/>
    <mergeCell ref="B53:F53"/>
    <mergeCell ref="B52:F52"/>
    <mergeCell ref="B54:F54"/>
    <mergeCell ref="B51:H51"/>
    <mergeCell ref="B48:F48"/>
    <mergeCell ref="B23:H23"/>
    <mergeCell ref="B17:H17"/>
    <mergeCell ref="B19:F19"/>
    <mergeCell ref="B24:F24"/>
    <mergeCell ref="B40:F40"/>
    <mergeCell ref="B32:F32"/>
    <mergeCell ref="B33:F33"/>
    <mergeCell ref="B39:F39"/>
    <mergeCell ref="B26:F26"/>
    <mergeCell ref="B27:F27"/>
    <mergeCell ref="B41:F41"/>
    <mergeCell ref="B44:H44"/>
    <mergeCell ref="B25:F25"/>
    <mergeCell ref="B30:H30"/>
    <mergeCell ref="B31:F31"/>
    <mergeCell ref="B35:F35"/>
    <mergeCell ref="B38:H38"/>
    <mergeCell ref="B34:F34"/>
    <mergeCell ref="B2:H3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3" t="s">
        <v>80</v>
      </c>
      <c r="C3" s="83"/>
      <c r="D3" s="83"/>
      <c r="E3" s="83"/>
      <c r="F3" s="83"/>
      <c r="G3" s="83"/>
      <c r="H3" s="83"/>
      <c r="I3" s="1"/>
    </row>
    <row r="4" spans="1:9" ht="15" customHeight="1" x14ac:dyDescent="0.45">
      <c r="A4" s="1"/>
      <c r="B4" s="83"/>
      <c r="C4" s="83"/>
      <c r="D4" s="83"/>
      <c r="E4" s="83"/>
      <c r="F4" s="83"/>
      <c r="G4" s="83"/>
      <c r="H4" s="8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7" t="s">
        <v>10</v>
      </c>
      <c r="C8" s="108"/>
      <c r="D8" s="108"/>
      <c r="E8" s="108"/>
      <c r="F8" s="108"/>
      <c r="G8" s="108"/>
      <c r="H8" s="109"/>
      <c r="I8" s="1"/>
    </row>
    <row r="9" spans="1:9" x14ac:dyDescent="0.45">
      <c r="A9" s="1"/>
      <c r="B9" s="110" t="s">
        <v>261</v>
      </c>
      <c r="C9" s="111"/>
      <c r="D9" s="111"/>
      <c r="E9" s="111"/>
      <c r="F9" s="112"/>
      <c r="G9" s="23">
        <v>4.1688914107989401E-3</v>
      </c>
      <c r="H9" s="14"/>
      <c r="I9" s="1"/>
    </row>
    <row r="10" spans="1:9" x14ac:dyDescent="0.45">
      <c r="A10" s="1"/>
      <c r="B10" s="110" t="s">
        <v>105</v>
      </c>
      <c r="C10" s="111"/>
      <c r="D10" s="111"/>
      <c r="E10" s="111"/>
      <c r="F10" s="112"/>
      <c r="G10" s="23">
        <v>0</v>
      </c>
      <c r="H10" s="14"/>
      <c r="I10" s="1"/>
    </row>
    <row r="11" spans="1:9" x14ac:dyDescent="0.45">
      <c r="A11" s="1"/>
      <c r="B11" s="110" t="s">
        <v>195</v>
      </c>
      <c r="C11" s="111"/>
      <c r="D11" s="111"/>
      <c r="E11" s="111"/>
      <c r="F11" s="112"/>
      <c r="G11" s="23">
        <v>6.6635772733908286E-3</v>
      </c>
      <c r="H11" s="14"/>
      <c r="I11" s="1"/>
    </row>
    <row r="12" spans="1:9" x14ac:dyDescent="0.45">
      <c r="A12" s="1"/>
      <c r="B12" s="36"/>
      <c r="C12" s="37"/>
      <c r="D12" s="37"/>
      <c r="E12" s="37"/>
      <c r="F12" s="37"/>
      <c r="G12" s="37"/>
      <c r="H12" s="20"/>
      <c r="I12" s="1"/>
    </row>
    <row r="13" spans="1:9" ht="40.5" customHeight="1" x14ac:dyDescent="0.45">
      <c r="A13" s="1"/>
      <c r="B13" s="120" t="s">
        <v>196</v>
      </c>
      <c r="C13" s="120"/>
      <c r="D13" s="120"/>
      <c r="E13" s="120"/>
      <c r="F13" s="120"/>
      <c r="G13" s="120"/>
      <c r="H13" s="120"/>
      <c r="I13" s="1"/>
    </row>
    <row r="14" spans="1:9" ht="30.75" customHeight="1" x14ac:dyDescent="0.4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hulQD6aiJh5pz9MTLscyB8hIm1+ZwCQA0URE21XRjSIyaRy6jZFHieQSvpkJ7ec9XIjVVZF32DZAtBb+hGve3g==" saltValue="Wjv1eR22MQ4Gvkyq+I4rJg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2021-09-13T00:59:23Z</dcterms:modified>
</cp:coreProperties>
</file>