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kanderborg Vand AS (V166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G15" i="11" l="1"/>
  <c r="E15" i="11"/>
  <c r="E11" i="11"/>
  <c r="E12" i="11"/>
  <c r="E13" i="11"/>
  <c r="E14" i="11"/>
  <c r="C16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5" i="11"/>
  <c r="C10" i="37" s="1"/>
  <c r="C13" i="37" s="1"/>
  <c r="C14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0" i="37"/>
  <c r="E13" i="37" s="1"/>
  <c r="G35" i="30" l="1"/>
  <c r="G37" i="30" s="1"/>
  <c r="C18" i="2"/>
  <c r="E14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<sst xmlns="http://schemas.openxmlformats.org/spreadsheetml/2006/main" count="609" uniqueCount="257">
  <si>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</si>
  <si>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</si>
  <si>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</si>
  <si>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</si>
  <si>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</si>
  <si>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</si>
  <si>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</si>
  <si>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</si>
  <si>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</si>
  <si>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</si>
  <si>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</si>
  <si>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</si>
  <si>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</si>
  <si>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</si>
  <si>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</si>
  <si>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</si>
  <si>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</si>
  <si>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</si>
  <si>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</si>
  <si>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</si>
  <si>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</si>
  <si>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</si>
  <si>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</si>
  <si>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</si>
  <si>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</si>
  <si>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</si>
  <si>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</si>
  <si>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</si>
  <si>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</si>
  <si>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</si>
  <si>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</si>
  <si>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</si>
  <si>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</si>
  <si>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</si>
  <si>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</si>
  <si>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</si>
  <si>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</si>
  <si>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</si>
  <si>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</si>
  <si>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</si>
  <si>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</si>
  <si>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</si>
  <si>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</si>
  <si>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</si>
  <si>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</si>
  <si>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</si>
  <si>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</si>
  <si>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</si>
  <si>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</si>
  <si>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</si>
  <si>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</si>
  <si>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</si>
  <si>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</si>
  <si>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</si>
  <si>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</si>
  <si>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</si>
  <si>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</si>
  <si>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</si>
  <si>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</si>
  <si>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</si>
  <si>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</si>
  <si>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</si>
  <si>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</si>
  <si>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</si>
  <si>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</si>
  <si>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</si>
  <si>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</si>
  <si>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</si>
  <si>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</si>
  <si>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</si>
  <si>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</si>
  <si>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</si>
  <si>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</si>
  <si>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</si>
  <si>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</si>
  <si>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</si>
  <si>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</si>
  <si>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</si>
  <si>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</si>
  <si>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</si>
  <si>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</si>
  <si>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</si>
  <si>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</si>
  <si>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</si>
  <si>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</si>
  <si>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</si>
  <si>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</si>
  <si>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</si>
  <si>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</si>
  <si>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</si>
  <si>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</si>
  <si>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</si>
  <si>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</si>
  <si>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</si>
  <si>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</si>
  <si>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</si>
  <si>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</si>
  <si>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</si>
  <si>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</si>
  <si>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</si>
  <si>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</si>
  <si>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</si>
  <si>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</si>
  <si>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</si>
  <si>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</si>
  <si>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</si>
  <si>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</si>
  <si>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</si>
  <si>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</si>
  <si>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</si>
  <si>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</si>
  <si>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</si>
  <si>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</si>
  <si>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</si>
  <si>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</si>
  <si>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</si>
  <si>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</si>
  <si>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</si>
  <si>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</si>
  <si>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</si>
  <si>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</si>
  <si>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</si>
  <si>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</si>
  <si>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</si>
  <si>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</si>
  <si>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</si>
  <si>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</si>
  <si>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</si>
  <si>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</si>
  <si>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</si>
  <si>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</si>
  <si>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</si>
  <si>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</si>
  <si>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</si>
  <si>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</si>
  <si>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</si>
  <si>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</si>
  <si>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</si>
  <si>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</si>
  <si>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</si>
  <si>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</si>
  <si>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</si>
  <si>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</si>
  <si>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</si>
  <si>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</si>
  <si>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</si>
  <si>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</si>
  <si>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</si>
  <si>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</si>
  <si>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</si>
  <si>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</si>
  <si>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</si>
  <si>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</si>
  <si>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</si>
  <si>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</si>
  <si>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</si>
  <si>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</si>
  <si>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</si>
  <si>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</si>
  <si>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</si>
  <si>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</si>
  <si>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</si>
  <si>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</si>
  <si>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</si>
  <si>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</si>
  <si>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</si>
  <si>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</si>
  <si>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</si>
  <si>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</si>
  <si>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</si>
  <si>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</si>
  <si>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</si>
  <si>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</si>
  <si>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</si>
  <si>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</si>
  <si>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</si>
  <si>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</si>
  <si>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</si>
  <si>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</si>
  <si>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</si>
  <si>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</si>
  <si>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</si>
  <si>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</si>
  <si>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</si>
  <si>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</si>
  <si>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</si>
  <si>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</si>
  <si>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</si>
  <si>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</si>
  <si>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</si>
  <si>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</si>
  <si>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</si>
  <si>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</si>
  <si>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</si>
  <si>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</si>
  <si>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</si>
  <si>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</si>
  <si>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</si>
  <si>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</si>
  <si>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</si>
  <si>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</si>
  <si>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</si>
  <si>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</si>
  <si>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</si>
  <si>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</si>
  <si>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</si>
  <si>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</si>
  <si>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</si>
  <si>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</si>
  <si>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</si>
  <si>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</si>
  <si>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</si>
  <si>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</si>
  <si>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</si>
  <si>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</si>
  <si>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</si>
  <si>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</si>
  <si>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</si>
  <si>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</si>
  <si>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</si>
  <si>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</si>
  <si>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</si>
  <si>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</si>
  <si>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</si>
  <si>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</si>
  <si>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</si>
  <si>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</si>
  <si>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</si>
  <si>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</si>
  <si>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</si>
  <si>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</si>
  <si>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</si>
  <si>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</si>
  <si>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</si>
  <si>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</si>
  <si>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</si>
  <si>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</si>
  <si>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Tjenestemandspensioner</t>
  </si>
  <si>
    <t>Undersøgelsesudgifter i forbindelse med fusion</t>
  </si>
  <si>
    <t>Ingen tilknyttet virksomhed</t>
  </si>
  <si>
    <t>Ingen bortfald eller nedsættelse</t>
  </si>
  <si>
    <t xml:space="preserve">Udvidelse af forsyningsområde </t>
  </si>
  <si>
    <t>Økonomisk ramme for 2024</t>
  </si>
  <si>
    <t>Vandkvalitet og arsenanlæg</t>
  </si>
  <si>
    <t>Vandsamarbejde i medfør af vandforsyningslovens § 52 b</t>
  </si>
  <si>
    <t>Ingen engangstillæg</t>
  </si>
  <si>
    <t>Arbejdsplads</t>
  </si>
  <si>
    <t>5</t>
  </si>
  <si>
    <t>Administrationbygninger</t>
  </si>
  <si>
    <t>75</t>
  </si>
  <si>
    <t>Inventar</t>
  </si>
  <si>
    <t>10</t>
  </si>
  <si>
    <t>Varmepumpe og vekseler</t>
  </si>
  <si>
    <t>25</t>
  </si>
  <si>
    <t>Hegn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</si>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</sst>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8" borderId="1" xfId="0" applyNumberFormat="1" applyFont="1" applyFill="1" applyBorder="1" applyProtection="1">
      <protection locked="0"/>
    </xf>
    <xf numFmtId="49" fontId="8" fillId="8" borderId="2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3" fontId="8" fillId="8" borderId="1" xfId="0" applyNumberFormat="1" applyFont="1" applyFill="1" applyBorder="1" applyAlignment="1" applyProtection="1">
      <protection locked="0"/>
    </xf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4" t="s">
        <v>4</v>
      </c>
      <c r="E6" s="64"/>
      <c r="F6" s="64"/>
      <c r="G6" s="64"/>
      <c r="H6" s="3"/>
      <c r="I6" s="1"/>
    </row>
    <row r="7" spans="1:9" ht="15" customHeight="1" x14ac:dyDescent="0.45">
      <c r="A7" s="1"/>
      <c r="B7" s="1"/>
      <c r="C7" s="3"/>
      <c r="D7" s="64"/>
      <c r="E7" s="64"/>
      <c r="F7" s="64"/>
      <c r="G7" s="64"/>
      <c r="H7" s="3"/>
      <c r="I7" s="1"/>
    </row>
    <row r="8" spans="1:9" ht="15.75" x14ac:dyDescent="0.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1" t="s">
        <v>151</v>
      </c>
      <c r="E13" s="62"/>
      <c r="F13" s="62"/>
      <c r="G13" s="63"/>
      <c r="H13" s="1"/>
      <c r="I13" s="1"/>
    </row>
    <row r="14" spans="1:9" x14ac:dyDescent="0.45">
      <c r="A14" s="1"/>
      <c r="B14" s="1"/>
      <c r="C14" s="6" t="s">
        <v>15</v>
      </c>
      <c r="D14" s="61" t="s">
        <v>207</v>
      </c>
      <c r="E14" s="62"/>
      <c r="F14" s="62"/>
      <c r="G14" s="63"/>
      <c r="H14" s="1"/>
      <c r="I14" s="1"/>
    </row>
    <row r="15" spans="1:9" x14ac:dyDescent="0.45">
      <c r="A15" s="1"/>
      <c r="B15" s="1"/>
      <c r="C15" s="6" t="s">
        <v>40</v>
      </c>
      <c r="D15" s="61" t="s">
        <v>93</v>
      </c>
      <c r="E15" s="62"/>
      <c r="F15" s="62"/>
      <c r="G15" s="63"/>
      <c r="H15" s="1"/>
      <c r="I15" s="1"/>
    </row>
    <row r="16" spans="1:9" x14ac:dyDescent="0.45">
      <c r="A16" s="1"/>
      <c r="B16" s="1"/>
      <c r="C16" s="6" t="s">
        <v>41</v>
      </c>
      <c r="D16" s="61" t="s">
        <v>152</v>
      </c>
      <c r="E16" s="62"/>
      <c r="F16" s="62"/>
      <c r="G16" s="63"/>
      <c r="H16" s="1"/>
      <c r="I16" s="1"/>
    </row>
    <row r="17" spans="1:9" x14ac:dyDescent="0.45">
      <c r="A17" s="1"/>
      <c r="B17" s="1"/>
      <c r="C17" s="6" t="s">
        <v>150</v>
      </c>
      <c r="D17" s="61" t="s">
        <v>153</v>
      </c>
      <c r="E17" s="62"/>
      <c r="F17" s="62"/>
      <c r="G17" s="63"/>
      <c r="H17" s="1"/>
      <c r="I17" s="1"/>
    </row>
    <row r="18" spans="1:9" x14ac:dyDescent="0.45">
      <c r="A18" s="1"/>
      <c r="B18" s="1"/>
      <c r="C18" s="36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45">
      <c r="A19" s="1"/>
      <c r="B19" s="1"/>
      <c r="C19" s="36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45">
      <c r="A20" s="1"/>
      <c r="B20" s="1"/>
      <c r="C20" s="36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45">
      <c r="A21" s="1"/>
      <c r="B21" s="1"/>
      <c r="C21" s="6" t="s">
        <v>136</v>
      </c>
      <c r="D21" s="76" t="s">
        <v>12</v>
      </c>
      <c r="E21" s="77"/>
      <c r="F21" s="77"/>
      <c r="G21" s="78"/>
      <c r="H21" s="1"/>
      <c r="I21" s="1"/>
    </row>
    <row r="22" spans="1:9" x14ac:dyDescent="0.45">
      <c r="A22" s="1"/>
      <c r="B22" s="1"/>
      <c r="C22" s="6" t="s">
        <v>97</v>
      </c>
      <c r="D22" s="65" t="s">
        <v>154</v>
      </c>
      <c r="E22" s="66"/>
      <c r="F22" s="66"/>
      <c r="G22" s="67"/>
      <c r="H22" s="1"/>
      <c r="I22" s="1"/>
    </row>
    <row r="23" spans="1:9" x14ac:dyDescent="0.45">
      <c r="A23" s="1"/>
      <c r="B23" s="1"/>
      <c r="C23" s="6" t="s">
        <v>8</v>
      </c>
      <c r="D23" s="65" t="s">
        <v>42</v>
      </c>
      <c r="E23" s="66"/>
      <c r="F23" s="66"/>
      <c r="G23" s="67"/>
      <c r="H23" s="1"/>
      <c r="I23" s="1"/>
    </row>
    <row r="24" spans="1:9" x14ac:dyDescent="0.45">
      <c r="A24" s="1"/>
      <c r="B24" s="1"/>
      <c r="C24" s="6" t="s">
        <v>217</v>
      </c>
      <c r="D24" s="65" t="s">
        <v>98</v>
      </c>
      <c r="E24" s="66"/>
      <c r="F24" s="66"/>
      <c r="G24" s="67"/>
      <c r="H24" s="1"/>
      <c r="I24" s="1"/>
    </row>
    <row r="25" spans="1:9" x14ac:dyDescent="0.45">
      <c r="A25" s="1"/>
      <c r="B25" s="1"/>
      <c r="C25" s="6" t="s">
        <v>218</v>
      </c>
      <c r="D25" s="65" t="s">
        <v>99</v>
      </c>
      <c r="E25" s="66"/>
      <c r="F25" s="66"/>
      <c r="G25" s="67"/>
      <c r="H25" s="1"/>
      <c r="I25" s="1"/>
    </row>
    <row r="26" spans="1:9" x14ac:dyDescent="0.45">
      <c r="A26" s="1"/>
      <c r="B26" s="1"/>
      <c r="C26" s="6" t="s">
        <v>219</v>
      </c>
      <c r="D26" s="65" t="s">
        <v>155</v>
      </c>
      <c r="E26" s="66"/>
      <c r="F26" s="66"/>
      <c r="G26" s="67"/>
      <c r="H26" s="1"/>
      <c r="I26" s="1"/>
    </row>
    <row r="27" spans="1:9" x14ac:dyDescent="0.45">
      <c r="A27" s="1"/>
      <c r="B27" s="1"/>
      <c r="C27" s="6" t="s">
        <v>137</v>
      </c>
      <c r="D27" s="65" t="s">
        <v>43</v>
      </c>
      <c r="E27" s="66"/>
      <c r="F27" s="66"/>
      <c r="G27" s="67"/>
      <c r="H27" s="1"/>
      <c r="I27" s="1"/>
    </row>
    <row r="28" spans="1:9" x14ac:dyDescent="0.45">
      <c r="A28" s="1"/>
      <c r="B28" s="1"/>
      <c r="C28" s="6" t="s">
        <v>128</v>
      </c>
      <c r="D28" s="73" t="s">
        <v>129</v>
      </c>
      <c r="E28" s="74"/>
      <c r="F28" s="74"/>
      <c r="G28" s="75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9" t="s">
        <v>140</v>
      </c>
      <c r="C3" s="79"/>
      <c r="D3" s="79"/>
      <c r="E3" s="1"/>
      <c r="F3" s="1"/>
    </row>
    <row r="4" spans="1:6" ht="15" customHeight="1" x14ac:dyDescent="0.45">
      <c r="A4" s="1"/>
      <c r="B4" s="79"/>
      <c r="C4" s="79"/>
      <c r="D4" s="7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02" t="s">
        <v>168</v>
      </c>
      <c r="C8" s="103"/>
      <c r="D8" s="104"/>
      <c r="E8" s="1"/>
      <c r="F8" s="1"/>
    </row>
    <row r="9" spans="1:6" ht="15" customHeight="1" x14ac:dyDescent="0.45">
      <c r="A9" s="1"/>
      <c r="B9" s="52" t="s">
        <v>35</v>
      </c>
      <c r="C9" s="11" t="s">
        <v>171</v>
      </c>
      <c r="D9" s="11"/>
      <c r="E9" s="1"/>
      <c r="F9" s="1"/>
    </row>
    <row r="10" spans="1:6" ht="15" customHeight="1" x14ac:dyDescent="0.45">
      <c r="A10" s="1"/>
      <c r="B10" s="55" t="s">
        <v>234</v>
      </c>
      <c r="C10" s="9">
        <v>7192518</v>
      </c>
      <c r="D10" s="14" t="s">
        <v>3</v>
      </c>
      <c r="E10" s="1"/>
      <c r="F10" s="1"/>
    </row>
    <row r="11" spans="1:6" ht="15" customHeight="1" x14ac:dyDescent="0.45">
      <c r="A11" s="1"/>
      <c r="B11" s="55" t="s">
        <v>235</v>
      </c>
      <c r="C11" s="9">
        <v>55067</v>
      </c>
      <c r="D11" s="14" t="s">
        <v>3</v>
      </c>
      <c r="E11" s="1"/>
      <c r="F11" s="1"/>
    </row>
    <row r="12" spans="1:6" x14ac:dyDescent="0.45">
      <c r="A12" s="1"/>
      <c r="B12" s="55" t="s">
        <v>236</v>
      </c>
      <c r="C12" s="9">
        <v>39451</v>
      </c>
      <c r="D12" s="14" t="s">
        <v>3</v>
      </c>
      <c r="E12" s="1"/>
      <c r="F12" s="1"/>
    </row>
    <row r="13" spans="1:6" ht="26.65" x14ac:dyDescent="0.45">
      <c r="A13" s="1"/>
      <c r="B13" s="51" t="s">
        <v>244</v>
      </c>
      <c r="C13" s="9">
        <v>46615</v>
      </c>
      <c r="D13" s="14" t="s">
        <v>3</v>
      </c>
      <c r="E13" s="1"/>
      <c r="F13" s="1"/>
    </row>
    <row r="14" spans="1:6" x14ac:dyDescent="0.45">
      <c r="A14" s="1"/>
      <c r="B14" s="55" t="s">
        <v>237</v>
      </c>
      <c r="C14" s="9">
        <v>12755</v>
      </c>
      <c r="D14" s="14" t="s">
        <v>3</v>
      </c>
      <c r="E14" s="1"/>
      <c r="F14" s="1"/>
    </row>
    <row r="15" spans="1:6" x14ac:dyDescent="0.45">
      <c r="A15" s="1"/>
      <c r="B15" s="55" t="s">
        <v>238</v>
      </c>
      <c r="C15" s="9">
        <v>43107</v>
      </c>
      <c r="D15" s="14" t="s">
        <v>3</v>
      </c>
      <c r="E15" s="1"/>
      <c r="F15" s="1"/>
    </row>
    <row r="16" spans="1:6" x14ac:dyDescent="0.45">
      <c r="A16" s="1"/>
      <c r="B16" s="47" t="s">
        <v>169</v>
      </c>
      <c r="C16" s="12">
        <f>SUM(C10:C15)</f>
        <v>7389513</v>
      </c>
      <c r="D16" s="13" t="s">
        <v>3</v>
      </c>
      <c r="E16" s="1"/>
      <c r="F16" s="1"/>
    </row>
    <row r="17" spans="1:6" x14ac:dyDescent="0.45">
      <c r="A17" s="1"/>
      <c r="B17" s="47" t="s">
        <v>170</v>
      </c>
      <c r="C17" s="12">
        <f>C16*(1+'Fane 12. Nøgletal'!C13)^2</f>
        <v>7570916.9723149203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KbBmnIBB1z4tWw6CD9GtoqZAE5BxkYycSHmVecmnkYohEwNu3T1nz6wkktkZ96IK1Dh4FI6cI99TxWfC2N1ivQ==" saltValue="ZrHhFZSWCkDh1wQdzJ/gT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ht="29.25" customHeight="1" x14ac:dyDescent="0.45">
      <c r="A2" s="1"/>
      <c r="B2" s="98" t="s">
        <v>172</v>
      </c>
      <c r="C2" s="98"/>
      <c r="D2" s="98"/>
      <c r="E2" s="98"/>
      <c r="F2" s="98"/>
      <c r="G2" s="1"/>
    </row>
    <row r="3" spans="1:7" ht="15" customHeight="1" x14ac:dyDescent="0.45">
      <c r="A3" s="1"/>
      <c r="B3" s="98"/>
      <c r="C3" s="98"/>
      <c r="D3" s="98"/>
      <c r="E3" s="98"/>
      <c r="F3" s="98"/>
      <c r="G3" s="1"/>
    </row>
    <row r="4" spans="1:7" ht="15" customHeight="1" x14ac:dyDescent="0.45">
      <c r="A4" s="1"/>
      <c r="B4" s="102" t="s">
        <v>39</v>
      </c>
      <c r="C4" s="103"/>
      <c r="D4" s="103"/>
      <c r="E4" s="103"/>
      <c r="F4" s="104"/>
      <c r="G4" s="1"/>
    </row>
    <row r="5" spans="1:7" ht="15" customHeight="1" x14ac:dyDescent="0.45">
      <c r="A5" s="1"/>
      <c r="B5" s="105" t="s">
        <v>37</v>
      </c>
      <c r="C5" s="106"/>
      <c r="D5" s="107"/>
      <c r="E5" s="9">
        <v>-733532.83750000014</v>
      </c>
      <c r="F5" s="14" t="s">
        <v>3</v>
      </c>
      <c r="G5" s="1"/>
    </row>
    <row r="6" spans="1:7" ht="15" customHeight="1" x14ac:dyDescent="0.45">
      <c r="A6" s="1"/>
      <c r="B6" s="105" t="s">
        <v>38</v>
      </c>
      <c r="C6" s="106"/>
      <c r="D6" s="107"/>
      <c r="E6" s="9">
        <v>1360831.281238962</v>
      </c>
      <c r="F6" s="14" t="s">
        <v>3</v>
      </c>
      <c r="G6" s="1"/>
    </row>
    <row r="7" spans="1:7" ht="15" customHeight="1" x14ac:dyDescent="0.45">
      <c r="A7" s="1"/>
      <c r="B7" s="113" t="s">
        <v>131</v>
      </c>
      <c r="C7" s="114"/>
      <c r="D7" s="115"/>
      <c r="E7" s="10">
        <f>SUM(E5:E6)</f>
        <v>627298.44373896183</v>
      </c>
      <c r="F7" s="19" t="s">
        <v>3</v>
      </c>
      <c r="G7" s="1"/>
    </row>
    <row r="8" spans="1:7" ht="15" customHeight="1" x14ac:dyDescent="0.45">
      <c r="A8" s="1"/>
      <c r="B8" s="47"/>
      <c r="C8" s="48"/>
      <c r="D8" s="48"/>
      <c r="E8" s="48"/>
      <c r="F8" s="23"/>
      <c r="G8" s="1"/>
    </row>
    <row r="9" spans="1:7" ht="28.5" customHeight="1" x14ac:dyDescent="0.45">
      <c r="A9" s="1"/>
      <c r="B9" s="81" t="s">
        <v>132</v>
      </c>
      <c r="C9" s="82"/>
      <c r="D9" s="82"/>
      <c r="E9" s="82"/>
      <c r="F9" s="83"/>
      <c r="G9" s="1"/>
    </row>
    <row r="10" spans="1:7" ht="28.5" customHeight="1" x14ac:dyDescent="0.45">
      <c r="A10" s="1"/>
      <c r="B10" s="1"/>
      <c r="C10" s="1"/>
      <c r="D10" s="1"/>
      <c r="E10" s="1"/>
      <c r="F10" s="1"/>
      <c r="G10" s="1"/>
    </row>
    <row r="11" spans="1:7" x14ac:dyDescent="0.45">
      <c r="A11" s="1"/>
      <c r="B11" s="102" t="s">
        <v>116</v>
      </c>
      <c r="C11" s="103"/>
      <c r="D11" s="103"/>
      <c r="E11" s="103"/>
      <c r="F11" s="104"/>
      <c r="G11" s="1"/>
    </row>
    <row r="12" spans="1:7" x14ac:dyDescent="0.45">
      <c r="A12" s="1"/>
      <c r="B12" s="105" t="s">
        <v>117</v>
      </c>
      <c r="C12" s="106"/>
      <c r="D12" s="107"/>
      <c r="E12" s="9">
        <v>18179115.313522585</v>
      </c>
      <c r="F12" s="14" t="s">
        <v>3</v>
      </c>
      <c r="G12" s="1"/>
    </row>
    <row r="13" spans="1:7" x14ac:dyDescent="0.45">
      <c r="A13" s="1"/>
      <c r="B13" s="105" t="s">
        <v>118</v>
      </c>
      <c r="C13" s="106"/>
      <c r="D13" s="107"/>
      <c r="E13" s="9">
        <v>18162222</v>
      </c>
      <c r="F13" s="14" t="s">
        <v>3</v>
      </c>
      <c r="G13" s="1"/>
    </row>
    <row r="14" spans="1:7" x14ac:dyDescent="0.45">
      <c r="A14" s="1"/>
      <c r="B14" s="105" t="s">
        <v>36</v>
      </c>
      <c r="C14" s="106"/>
      <c r="D14" s="107"/>
      <c r="E14" s="9">
        <v>0</v>
      </c>
      <c r="F14" s="14" t="s">
        <v>3</v>
      </c>
      <c r="G14" s="1"/>
    </row>
    <row r="15" spans="1:7" x14ac:dyDescent="0.45">
      <c r="A15" s="1"/>
      <c r="B15" s="113" t="s">
        <v>208</v>
      </c>
      <c r="C15" s="114"/>
      <c r="D15" s="115"/>
      <c r="E15" s="10">
        <f>E12-(E13-E14)</f>
        <v>16893.313522584736</v>
      </c>
      <c r="F15" s="19" t="s">
        <v>3</v>
      </c>
      <c r="G15" s="1"/>
    </row>
    <row r="16" spans="1:7" x14ac:dyDescent="0.45">
      <c r="A16" s="1"/>
      <c r="B16" s="47"/>
      <c r="C16" s="48"/>
      <c r="D16" s="48"/>
      <c r="E16" s="48"/>
      <c r="F16" s="23"/>
      <c r="G16" s="1"/>
    </row>
    <row r="17" spans="1:7" ht="30" customHeight="1" x14ac:dyDescent="0.45">
      <c r="A17" s="1"/>
      <c r="B17" s="81" t="s">
        <v>133</v>
      </c>
      <c r="C17" s="82"/>
      <c r="D17" s="82"/>
      <c r="E17" s="82"/>
      <c r="F17" s="83"/>
      <c r="G17" s="1"/>
    </row>
    <row r="18" spans="1:7" ht="28.5" customHeight="1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02" t="s">
        <v>50</v>
      </c>
      <c r="C19" s="103"/>
      <c r="D19" s="103"/>
      <c r="E19" s="103"/>
      <c r="F19" s="104"/>
      <c r="G19" s="1"/>
    </row>
    <row r="20" spans="1:7" x14ac:dyDescent="0.45">
      <c r="A20" s="1"/>
      <c r="B20" s="105" t="s">
        <v>51</v>
      </c>
      <c r="C20" s="106"/>
      <c r="D20" s="107"/>
      <c r="E20" s="9">
        <v>18495006.877294146</v>
      </c>
      <c r="F20" s="14" t="s">
        <v>3</v>
      </c>
      <c r="G20" s="1"/>
    </row>
    <row r="21" spans="1:7" x14ac:dyDescent="0.45">
      <c r="A21" s="1"/>
      <c r="B21" s="105" t="s">
        <v>52</v>
      </c>
      <c r="C21" s="106"/>
      <c r="D21" s="107"/>
      <c r="E21" s="9">
        <v>19063730</v>
      </c>
      <c r="F21" s="14" t="s">
        <v>3</v>
      </c>
      <c r="G21" s="1"/>
    </row>
    <row r="22" spans="1:7" x14ac:dyDescent="0.45">
      <c r="A22" s="1"/>
      <c r="B22" s="105" t="s">
        <v>36</v>
      </c>
      <c r="C22" s="106"/>
      <c r="D22" s="107"/>
      <c r="E22" s="9">
        <v>0</v>
      </c>
      <c r="F22" s="14" t="s">
        <v>3</v>
      </c>
      <c r="G22" s="1"/>
    </row>
    <row r="23" spans="1:7" x14ac:dyDescent="0.45">
      <c r="A23" s="1"/>
      <c r="B23" s="113" t="s">
        <v>209</v>
      </c>
      <c r="C23" s="114"/>
      <c r="D23" s="115"/>
      <c r="E23" s="10">
        <f>E20-(E21-E22)</f>
        <v>-568723.12270585448</v>
      </c>
      <c r="F23" s="19" t="s">
        <v>3</v>
      </c>
      <c r="G23" s="1"/>
    </row>
    <row r="24" spans="1:7" x14ac:dyDescent="0.45">
      <c r="A24" s="1"/>
      <c r="B24" s="47"/>
      <c r="C24" s="48"/>
      <c r="D24" s="48"/>
      <c r="E24" s="48"/>
      <c r="F24" s="23"/>
      <c r="G24" s="1"/>
    </row>
    <row r="25" spans="1:7" ht="28.5" customHeight="1" x14ac:dyDescent="0.45">
      <c r="A25" s="1"/>
      <c r="B25" s="81" t="s">
        <v>179</v>
      </c>
      <c r="C25" s="82"/>
      <c r="D25" s="82"/>
      <c r="E25" s="82"/>
      <c r="F25" s="83"/>
      <c r="G25" s="1"/>
    </row>
    <row r="26" spans="1:7" ht="28.5" customHeight="1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02" t="s">
        <v>200</v>
      </c>
      <c r="C27" s="103"/>
      <c r="D27" s="103"/>
      <c r="E27" s="103"/>
      <c r="F27" s="104"/>
      <c r="G27" s="1"/>
    </row>
    <row r="28" spans="1:7" x14ac:dyDescent="0.45">
      <c r="A28" s="1"/>
      <c r="B28" s="105" t="s">
        <v>201</v>
      </c>
      <c r="C28" s="106"/>
      <c r="D28" s="107"/>
      <c r="E28" s="9">
        <v>18951121.521298498</v>
      </c>
      <c r="F28" s="14" t="s">
        <v>3</v>
      </c>
      <c r="G28" s="1"/>
    </row>
    <row r="29" spans="1:7" x14ac:dyDescent="0.45">
      <c r="A29" s="1"/>
      <c r="B29" s="105" t="s">
        <v>202</v>
      </c>
      <c r="C29" s="106"/>
      <c r="D29" s="107"/>
      <c r="E29" s="9">
        <v>19823493</v>
      </c>
      <c r="F29" s="14" t="s">
        <v>3</v>
      </c>
      <c r="G29" s="1"/>
    </row>
    <row r="30" spans="1:7" x14ac:dyDescent="0.45">
      <c r="A30" s="1"/>
      <c r="B30" s="105" t="s">
        <v>36</v>
      </c>
      <c r="C30" s="106"/>
      <c r="D30" s="107"/>
      <c r="E30" s="9">
        <v>0</v>
      </c>
      <c r="F30" s="14" t="s">
        <v>3</v>
      </c>
      <c r="G30" s="1"/>
    </row>
    <row r="31" spans="1:7" x14ac:dyDescent="0.45">
      <c r="A31" s="1"/>
      <c r="B31" s="113" t="s">
        <v>210</v>
      </c>
      <c r="C31" s="114"/>
      <c r="D31" s="115"/>
      <c r="E31" s="10">
        <f>E28-(E29-E30)</f>
        <v>-872371.47870150208</v>
      </c>
      <c r="F31" s="19" t="s">
        <v>3</v>
      </c>
      <c r="G31" s="1"/>
    </row>
    <row r="32" spans="1:7" x14ac:dyDescent="0.45">
      <c r="A32" s="1"/>
      <c r="B32" s="47"/>
      <c r="C32" s="48"/>
      <c r="D32" s="48"/>
      <c r="E32" s="48"/>
      <c r="F32" s="23"/>
      <c r="G32" s="1"/>
    </row>
    <row r="33" spans="1:7" ht="28.5" customHeight="1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02" t="s">
        <v>125</v>
      </c>
      <c r="C34" s="103"/>
      <c r="D34" s="103"/>
      <c r="E34" s="103"/>
      <c r="F34" s="104"/>
      <c r="G34" s="1"/>
    </row>
    <row r="35" spans="1:7" x14ac:dyDescent="0.45">
      <c r="A35" s="1"/>
      <c r="B35" s="116" t="s">
        <v>255</v>
      </c>
      <c r="C35" s="117"/>
      <c r="D35" s="118"/>
      <c r="E35" s="9">
        <v>1</v>
      </c>
      <c r="F35" s="14"/>
      <c r="G35" s="1"/>
    </row>
    <row r="36" spans="1:7" x14ac:dyDescent="0.45">
      <c r="A36" s="1"/>
      <c r="B36" s="116" t="s">
        <v>256</v>
      </c>
      <c r="C36" s="117"/>
      <c r="D36" s="118"/>
      <c r="E36" s="9">
        <v>0</v>
      </c>
      <c r="F36" s="14"/>
      <c r="G36" s="1"/>
    </row>
    <row r="37" spans="1:7" x14ac:dyDescent="0.45">
      <c r="A37" s="1"/>
      <c r="B37" s="116" t="s">
        <v>113</v>
      </c>
      <c r="C37" s="117"/>
      <c r="D37" s="118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-1424201.2878847718</v>
      </c>
      <c r="F37" s="14" t="s">
        <v>3</v>
      </c>
      <c r="G37" s="1"/>
    </row>
    <row r="38" spans="1:7" x14ac:dyDescent="0.45">
      <c r="A38" s="1"/>
      <c r="B38" s="116" t="s">
        <v>130</v>
      </c>
      <c r="C38" s="117"/>
      <c r="D38" s="118"/>
      <c r="E38" s="9">
        <v>2</v>
      </c>
      <c r="F38" s="14" t="s">
        <v>19</v>
      </c>
      <c r="G38" s="1"/>
    </row>
    <row r="39" spans="1:7" ht="15" customHeight="1" x14ac:dyDescent="0.45">
      <c r="A39" s="1"/>
      <c r="B39" s="119" t="s">
        <v>203</v>
      </c>
      <c r="C39" s="119"/>
      <c r="D39" s="119"/>
      <c r="E39" s="10">
        <f>E37/E38</f>
        <v>-712100.64394238591</v>
      </c>
      <c r="F39" s="19" t="s">
        <v>3</v>
      </c>
      <c r="G39" s="1"/>
    </row>
    <row r="40" spans="1:7" x14ac:dyDescent="0.45">
      <c r="A40" s="1"/>
      <c r="B40" s="102"/>
      <c r="C40" s="103"/>
      <c r="D40" s="103"/>
      <c r="E40" s="103"/>
      <c r="F40" s="104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4" spans="1:7" x14ac:dyDescent="0.45">
      <c r="A44" s="40"/>
      <c r="B44" s="40"/>
      <c r="C44" s="40"/>
      <c r="D44" s="40"/>
      <c r="E44" s="40"/>
      <c r="F44" s="40"/>
      <c r="G44" s="40"/>
    </row>
    <row r="45" spans="1:7" x14ac:dyDescent="0.45">
      <c r="A45" s="40"/>
      <c r="B45" s="40"/>
      <c r="C45" s="40"/>
      <c r="D45" s="40"/>
      <c r="E45" s="40"/>
      <c r="F45" s="40"/>
      <c r="G45" s="40"/>
    </row>
    <row r="46" spans="1:7" x14ac:dyDescent="0.45">
      <c r="A46" s="40"/>
      <c r="B46" s="40"/>
      <c r="C46" s="40"/>
      <c r="D46" s="40"/>
      <c r="E46" s="40"/>
      <c r="F46" s="40"/>
      <c r="G46" s="40"/>
    </row>
    <row r="47" spans="1:7" x14ac:dyDescent="0.45">
      <c r="A47" s="40"/>
      <c r="B47" s="40"/>
      <c r="C47" s="40"/>
      <c r="D47" s="40"/>
      <c r="E47" s="40"/>
      <c r="F47" s="40"/>
      <c r="G47" s="40"/>
    </row>
  </sheetData>
  <sheetProtection algorithmName="SHA-512" hashValue="2O+4RuNBd0yypTgCn8pzloWNAV6E8dZ6CTrC5Nu5NPrXzSURdnMUKgcjF8xH4yCEhCce6oPI33U8HBGeL+eDng==" saltValue="wJaj+scmyGXTj6Fe8BuX0g==" spinCount="100000" sheet="1" objects="1" scenarios="1"/>
  <mergeCells count="30"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9" t="s">
        <v>216</v>
      </c>
      <c r="C3" s="79"/>
      <c r="D3" s="79"/>
      <c r="E3" s="79"/>
      <c r="F3" s="79"/>
      <c r="G3" s="79"/>
      <c r="H3" s="79"/>
      <c r="I3" s="1"/>
    </row>
    <row r="4" spans="1:9" ht="15" customHeight="1" x14ac:dyDescent="0.4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2" t="s">
        <v>197</v>
      </c>
      <c r="C8" s="103"/>
      <c r="D8" s="103"/>
      <c r="E8" s="103"/>
      <c r="F8" s="103"/>
      <c r="G8" s="103"/>
      <c r="H8" s="104"/>
      <c r="I8" s="1"/>
    </row>
    <row r="9" spans="1:9" ht="39.75" customHeight="1" x14ac:dyDescent="0.45">
      <c r="A9" s="1"/>
      <c r="B9" s="22" t="s">
        <v>0</v>
      </c>
      <c r="C9" s="22" t="s">
        <v>1</v>
      </c>
      <c r="D9" s="22" t="s">
        <v>10</v>
      </c>
      <c r="E9" s="11" t="s">
        <v>2</v>
      </c>
      <c r="F9" s="11" t="s">
        <v>11</v>
      </c>
      <c r="G9" s="11" t="s">
        <v>33</v>
      </c>
      <c r="H9" s="50"/>
      <c r="I9" s="1"/>
    </row>
    <row r="10" spans="1:9" x14ac:dyDescent="0.45">
      <c r="A10" s="1"/>
      <c r="B10" s="58" t="s">
        <v>246</v>
      </c>
      <c r="C10" s="59" t="s">
        <v>247</v>
      </c>
      <c r="D10" s="9">
        <v>108011</v>
      </c>
      <c r="E10" s="9">
        <f>IFERROR(D10/C10,0)</f>
        <v>21602.2</v>
      </c>
      <c r="F10" s="9">
        <v>0</v>
      </c>
      <c r="G10" s="9">
        <v>2214</v>
      </c>
      <c r="H10" s="14" t="s">
        <v>3</v>
      </c>
      <c r="I10" s="1"/>
    </row>
    <row r="11" spans="1:9" x14ac:dyDescent="0.45">
      <c r="A11" s="1"/>
      <c r="B11" s="58" t="s">
        <v>248</v>
      </c>
      <c r="C11" s="59" t="s">
        <v>249</v>
      </c>
      <c r="D11" s="9">
        <v>62232</v>
      </c>
      <c r="E11" s="9">
        <f t="shared" ref="E11:E12" si="0">IFERROR(D11/C11,0)</f>
        <v>829.76</v>
      </c>
      <c r="F11" s="9">
        <v>0</v>
      </c>
      <c r="G11" s="9">
        <v>1276</v>
      </c>
      <c r="H11" s="14" t="s">
        <v>3</v>
      </c>
      <c r="I11" s="1"/>
    </row>
    <row r="12" spans="1:9" x14ac:dyDescent="0.45">
      <c r="A12" s="1"/>
      <c r="B12" s="58" t="s">
        <v>250</v>
      </c>
      <c r="C12" s="59" t="s">
        <v>251</v>
      </c>
      <c r="D12" s="9">
        <v>187669</v>
      </c>
      <c r="E12" s="9">
        <f t="shared" si="0"/>
        <v>18766.900000000001</v>
      </c>
      <c r="F12" s="9">
        <v>0</v>
      </c>
      <c r="G12" s="9">
        <v>3847</v>
      </c>
      <c r="H12" s="14" t="s">
        <v>3</v>
      </c>
      <c r="I12" s="1"/>
    </row>
    <row r="13" spans="1:9" x14ac:dyDescent="0.45">
      <c r="A13" s="1"/>
      <c r="B13" s="58" t="s">
        <v>252</v>
      </c>
      <c r="C13" s="59" t="s">
        <v>253</v>
      </c>
      <c r="D13" s="9">
        <v>102211</v>
      </c>
      <c r="E13" s="9">
        <f t="shared" ref="E13:E14" si="1">IFERROR(D13/C13,0)</f>
        <v>4088.44</v>
      </c>
      <c r="F13" s="9">
        <v>0</v>
      </c>
      <c r="G13" s="9">
        <v>2095</v>
      </c>
      <c r="H13" s="14" t="s">
        <v>3</v>
      </c>
      <c r="I13" s="1"/>
    </row>
    <row r="14" spans="1:9" x14ac:dyDescent="0.45">
      <c r="A14" s="1"/>
      <c r="B14" s="58" t="s">
        <v>254</v>
      </c>
      <c r="C14" s="59" t="s">
        <v>253</v>
      </c>
      <c r="D14" s="9">
        <v>15065</v>
      </c>
      <c r="E14" s="9">
        <f t="shared" si="1"/>
        <v>602.6</v>
      </c>
      <c r="F14" s="9">
        <v>0</v>
      </c>
      <c r="G14" s="9">
        <v>309</v>
      </c>
      <c r="H14" s="14" t="s">
        <v>3</v>
      </c>
      <c r="I14" s="1"/>
    </row>
    <row r="15" spans="1:9" x14ac:dyDescent="0.45">
      <c r="A15" s="1"/>
      <c r="B15" s="102" t="s">
        <v>198</v>
      </c>
      <c r="C15" s="103"/>
      <c r="D15" s="104"/>
      <c r="E15" s="12">
        <f>SUM(E10:E14)</f>
        <v>45889.9</v>
      </c>
      <c r="F15" s="12">
        <f>SUM(F10:F14)</f>
        <v>0</v>
      </c>
      <c r="G15" s="12">
        <f>SUM(G10:G14)</f>
        <v>9741</v>
      </c>
      <c r="H15" s="13" t="s">
        <v>3</v>
      </c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215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94</v>
      </c>
      <c r="C8" s="48"/>
      <c r="D8" s="48"/>
      <c r="E8" s="48"/>
      <c r="F8" s="23"/>
      <c r="G8" s="1"/>
    </row>
    <row r="9" spans="1:7" ht="17.25" customHeight="1" x14ac:dyDescent="0.45">
      <c r="A9" s="1"/>
      <c r="B9" s="53" t="s">
        <v>16</v>
      </c>
      <c r="C9" s="53" t="s">
        <v>11</v>
      </c>
      <c r="D9" s="54"/>
      <c r="E9" s="53" t="s">
        <v>34</v>
      </c>
      <c r="F9" s="50"/>
      <c r="G9" s="1"/>
    </row>
    <row r="10" spans="1:7" x14ac:dyDescent="0.45">
      <c r="A10" s="1"/>
      <c r="B10" s="28" t="s">
        <v>44</v>
      </c>
      <c r="C10" s="25">
        <f>'Fane 8. Anlægsprojekter'!F15</f>
        <v>0</v>
      </c>
      <c r="D10" s="14" t="s">
        <v>3</v>
      </c>
      <c r="E10" s="9">
        <f>SUM('Fane 8. Anlægsprojekter'!E15,'Fane 8. Anlægsprojekter'!G15)</f>
        <v>55630.9</v>
      </c>
      <c r="F10" s="14" t="s">
        <v>3</v>
      </c>
      <c r="G10" s="1"/>
    </row>
    <row r="11" spans="1:7" x14ac:dyDescent="0.45">
      <c r="A11" s="1"/>
      <c r="B11" s="60" t="s">
        <v>241</v>
      </c>
      <c r="C11" s="25">
        <v>553274</v>
      </c>
      <c r="D11" s="14" t="s">
        <v>3</v>
      </c>
      <c r="E11" s="9">
        <v>205856</v>
      </c>
      <c r="F11" s="14" t="s">
        <v>3</v>
      </c>
      <c r="G11" s="1"/>
    </row>
    <row r="12" spans="1:7" x14ac:dyDescent="0.45">
      <c r="A12" s="1"/>
      <c r="B12" s="28" t="s">
        <v>243</v>
      </c>
      <c r="C12" s="25">
        <v>140743</v>
      </c>
      <c r="D12" s="14" t="s">
        <v>3</v>
      </c>
      <c r="E12" s="9">
        <v>16759</v>
      </c>
      <c r="F12" s="14" t="s">
        <v>3</v>
      </c>
      <c r="G12" s="1"/>
    </row>
    <row r="13" spans="1:7" x14ac:dyDescent="0.45">
      <c r="A13" s="1"/>
      <c r="B13" s="47" t="s">
        <v>48</v>
      </c>
      <c r="C13" s="12">
        <f>SUM(C10:C12)</f>
        <v>694017</v>
      </c>
      <c r="D13" s="13" t="s">
        <v>3</v>
      </c>
      <c r="E13" s="12">
        <f>SUM(E10:E12)</f>
        <v>278245.90000000002</v>
      </c>
      <c r="F13" s="13" t="s">
        <v>3</v>
      </c>
      <c r="G13" s="1"/>
    </row>
    <row r="14" spans="1:7" x14ac:dyDescent="0.45">
      <c r="A14" s="1"/>
      <c r="B14" s="47" t="s">
        <v>173</v>
      </c>
      <c r="C14" s="12">
        <f>C13*(1+'Fane 12. Nøgletal'!C13)</f>
        <v>702484.0074</v>
      </c>
      <c r="D14" s="13" t="s">
        <v>3</v>
      </c>
      <c r="E14" s="12">
        <f>E13*(1+'Fane 12. Nøgletal'!C13)</f>
        <v>281640.49998000002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V2Se2HBUj1l69azCaIDDLmlYkVMAVv0pZGwaPA8X9/blCTwk460QzydYsB/nPH49O/z0BFGRq7K13tm9RyFmIw==" saltValue="zUbNnZdDQVq/pCKtCPrX8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9" t="s">
        <v>214</v>
      </c>
      <c r="C3" s="79"/>
      <c r="D3" s="79"/>
      <c r="E3" s="79"/>
      <c r="F3" s="79"/>
      <c r="G3" s="1"/>
    </row>
    <row r="4" spans="1:7" ht="15" customHeight="1" x14ac:dyDescent="0.45">
      <c r="A4" s="1"/>
      <c r="B4" s="79"/>
      <c r="C4" s="79"/>
      <c r="D4" s="79"/>
      <c r="E4" s="79"/>
      <c r="F4" s="7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119</v>
      </c>
      <c r="C8" s="103"/>
      <c r="D8" s="103"/>
      <c r="E8" s="103"/>
      <c r="F8" s="104"/>
      <c r="G8" s="1"/>
    </row>
    <row r="9" spans="1:7" x14ac:dyDescent="0.45">
      <c r="A9" s="1"/>
      <c r="B9" s="43" t="s">
        <v>16</v>
      </c>
      <c r="C9" s="43" t="s">
        <v>11</v>
      </c>
      <c r="D9" s="44"/>
      <c r="E9" s="43" t="s">
        <v>34</v>
      </c>
      <c r="F9" s="42"/>
      <c r="G9" s="1"/>
    </row>
    <row r="10" spans="1:7" x14ac:dyDescent="0.45">
      <c r="A10" s="1"/>
      <c r="B10" s="18" t="s">
        <v>245</v>
      </c>
      <c r="C10" s="20">
        <v>0</v>
      </c>
      <c r="D10" s="14" t="s">
        <v>3</v>
      </c>
      <c r="E10" s="17">
        <v>0</v>
      </c>
      <c r="F10" s="14" t="s">
        <v>3</v>
      </c>
      <c r="G10" s="1"/>
    </row>
    <row r="11" spans="1:7" x14ac:dyDescent="0.45">
      <c r="A11" s="1"/>
      <c r="B11" s="45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0" t="s">
        <v>9</v>
      </c>
      <c r="C12" s="31">
        <f>-C11*'Fane 5. Individuelt eff. krav'!G10</f>
        <v>0</v>
      </c>
      <c r="D12" s="32" t="s">
        <v>3</v>
      </c>
      <c r="E12" s="31">
        <f>-E11*'Fane 5. Individuelt eff. krav'!G10</f>
        <v>0</v>
      </c>
      <c r="F12" s="32" t="s">
        <v>3</v>
      </c>
      <c r="G12" s="1"/>
    </row>
    <row r="13" spans="1:7" x14ac:dyDescent="0.45">
      <c r="A13" s="1"/>
      <c r="B13" s="30" t="s">
        <v>123</v>
      </c>
      <c r="C13" s="31">
        <f>-C11*'Fane 12. Nøgletal'!C27</f>
        <v>0</v>
      </c>
      <c r="D13" s="32" t="s">
        <v>3</v>
      </c>
      <c r="E13" s="31">
        <f>-E11*'Fane 12. Nøgletal'!C22</f>
        <v>0</v>
      </c>
      <c r="F13" s="32" t="s">
        <v>3</v>
      </c>
      <c r="G13" s="1"/>
    </row>
    <row r="14" spans="1:7" x14ac:dyDescent="0.45">
      <c r="A14" s="1"/>
      <c r="B14" s="45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02" t="s">
        <v>120</v>
      </c>
      <c r="C16" s="103"/>
      <c r="D16" s="103"/>
      <c r="E16" s="103"/>
      <c r="F16" s="104"/>
      <c r="G16" s="1"/>
    </row>
    <row r="17" spans="1:7" x14ac:dyDescent="0.45">
      <c r="A17" s="1"/>
      <c r="B17" s="43" t="s">
        <v>16</v>
      </c>
      <c r="C17" s="43" t="s">
        <v>11</v>
      </c>
      <c r="D17" s="44"/>
      <c r="E17" s="43" t="s">
        <v>34</v>
      </c>
      <c r="F17" s="42"/>
      <c r="G17" s="1"/>
    </row>
    <row r="18" spans="1:7" x14ac:dyDescent="0.45">
      <c r="A18" s="1"/>
      <c r="B18" s="18" t="s">
        <v>245</v>
      </c>
      <c r="C18" s="20">
        <v>0</v>
      </c>
      <c r="D18" s="14" t="s">
        <v>3</v>
      </c>
      <c r="E18" s="17">
        <v>0</v>
      </c>
      <c r="F18" s="14" t="s">
        <v>3</v>
      </c>
      <c r="G18" s="1"/>
    </row>
    <row r="19" spans="1:7" x14ac:dyDescent="0.45">
      <c r="A19" s="1"/>
      <c r="B19" s="45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30" t="s">
        <v>9</v>
      </c>
      <c r="C20" s="31">
        <f>-C19*'Fane 5. Individuelt eff. krav'!G10</f>
        <v>0</v>
      </c>
      <c r="D20" s="32" t="s">
        <v>3</v>
      </c>
      <c r="E20" s="31">
        <f>-E19*'Fane 5. Individuelt eff. krav'!G10</f>
        <v>0</v>
      </c>
      <c r="F20" s="32" t="s">
        <v>3</v>
      </c>
      <c r="G20" s="1"/>
    </row>
    <row r="21" spans="1:7" x14ac:dyDescent="0.45">
      <c r="A21" s="1"/>
      <c r="B21" s="30" t="s">
        <v>123</v>
      </c>
      <c r="C21" s="31">
        <f>-C19*'Fane 12. Nøgletal'!C27</f>
        <v>0</v>
      </c>
      <c r="D21" s="32" t="s">
        <v>3</v>
      </c>
      <c r="E21" s="31">
        <f>-E19*'Fane 12. Nøgletal'!C22</f>
        <v>0</v>
      </c>
      <c r="F21" s="32" t="s">
        <v>3</v>
      </c>
      <c r="G21" s="1"/>
    </row>
    <row r="22" spans="1:7" x14ac:dyDescent="0.45">
      <c r="A22" s="1"/>
      <c r="B22" s="45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02" t="s">
        <v>121</v>
      </c>
      <c r="C24" s="103"/>
      <c r="D24" s="103"/>
      <c r="E24" s="103"/>
      <c r="F24" s="104"/>
      <c r="G24" s="1"/>
    </row>
    <row r="25" spans="1:7" x14ac:dyDescent="0.45">
      <c r="A25" s="1"/>
      <c r="B25" s="43" t="s">
        <v>16</v>
      </c>
      <c r="C25" s="43" t="s">
        <v>11</v>
      </c>
      <c r="D25" s="44"/>
      <c r="E25" s="43" t="s">
        <v>34</v>
      </c>
      <c r="F25" s="42"/>
      <c r="G25" s="1"/>
    </row>
    <row r="26" spans="1:7" x14ac:dyDescent="0.45">
      <c r="A26" s="1"/>
      <c r="B26" s="18" t="s">
        <v>245</v>
      </c>
      <c r="C26" s="20">
        <v>0</v>
      </c>
      <c r="D26" s="14" t="s">
        <v>3</v>
      </c>
      <c r="E26" s="17">
        <v>0</v>
      </c>
      <c r="F26" s="14" t="s">
        <v>3</v>
      </c>
      <c r="G26" s="1"/>
    </row>
    <row r="27" spans="1:7" x14ac:dyDescent="0.45">
      <c r="A27" s="1"/>
      <c r="B27" s="45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30" t="s">
        <v>9</v>
      </c>
      <c r="C28" s="31">
        <f>-C27*'Fane 5. Individuelt eff. krav'!G10</f>
        <v>0</v>
      </c>
      <c r="D28" s="32" t="s">
        <v>3</v>
      </c>
      <c r="E28" s="31">
        <f>-E27*'Fane 5. Individuelt eff. krav'!G10</f>
        <v>0</v>
      </c>
      <c r="F28" s="32" t="s">
        <v>3</v>
      </c>
      <c r="G28" s="1"/>
    </row>
    <row r="29" spans="1:7" x14ac:dyDescent="0.45">
      <c r="A29" s="1"/>
      <c r="B29" s="30" t="s">
        <v>123</v>
      </c>
      <c r="C29" s="31">
        <f>-C27*'Fane 12. Nøgletal'!C27</f>
        <v>0</v>
      </c>
      <c r="D29" s="32" t="s">
        <v>3</v>
      </c>
      <c r="E29" s="31">
        <f>-E27*'Fane 12. Nøgletal'!C22</f>
        <v>0</v>
      </c>
      <c r="F29" s="32" t="s">
        <v>3</v>
      </c>
      <c r="G29" s="1"/>
    </row>
    <row r="30" spans="1:7" x14ac:dyDescent="0.45">
      <c r="A30" s="1"/>
      <c r="B30" s="45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02" t="s">
        <v>176</v>
      </c>
      <c r="C32" s="103"/>
      <c r="D32" s="103"/>
      <c r="E32" s="103"/>
      <c r="F32" s="104"/>
      <c r="G32" s="1"/>
    </row>
    <row r="33" spans="1:7" x14ac:dyDescent="0.45">
      <c r="A33" s="1"/>
      <c r="B33" s="43" t="s">
        <v>16</v>
      </c>
      <c r="C33" s="43" t="s">
        <v>11</v>
      </c>
      <c r="D33" s="44"/>
      <c r="E33" s="43" t="s">
        <v>34</v>
      </c>
      <c r="F33" s="42"/>
      <c r="G33" s="1"/>
    </row>
    <row r="34" spans="1:7" x14ac:dyDescent="0.45">
      <c r="A34" s="1"/>
      <c r="B34" s="18" t="s">
        <v>245</v>
      </c>
      <c r="C34" s="20">
        <v>0</v>
      </c>
      <c r="D34" s="14" t="s">
        <v>3</v>
      </c>
      <c r="E34" s="17">
        <v>0</v>
      </c>
      <c r="F34" s="14" t="s">
        <v>3</v>
      </c>
      <c r="G34" s="1"/>
    </row>
    <row r="35" spans="1:7" x14ac:dyDescent="0.45">
      <c r="A35" s="1"/>
      <c r="B35" s="45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30" t="s">
        <v>9</v>
      </c>
      <c r="C36" s="31">
        <f>-C35*'Fane 5. Individuelt eff. krav'!G10</f>
        <v>0</v>
      </c>
      <c r="D36" s="32" t="s">
        <v>3</v>
      </c>
      <c r="E36" s="31">
        <f>-E35*'Fane 5. Individuelt eff. krav'!G10</f>
        <v>0</v>
      </c>
      <c r="F36" s="32" t="s">
        <v>3</v>
      </c>
      <c r="G36" s="1"/>
    </row>
    <row r="37" spans="1:7" x14ac:dyDescent="0.45">
      <c r="A37" s="1"/>
      <c r="B37" s="30" t="s">
        <v>123</v>
      </c>
      <c r="C37" s="31">
        <f>-C35*'Fane 12. Nøgletal'!C27</f>
        <v>0</v>
      </c>
      <c r="D37" s="32" t="s">
        <v>3</v>
      </c>
      <c r="E37" s="31">
        <f>-E35*'Fane 12. Nøgletal'!C22</f>
        <v>0</v>
      </c>
      <c r="F37" s="32" t="s">
        <v>3</v>
      </c>
      <c r="G37" s="1"/>
    </row>
    <row r="38" spans="1:7" x14ac:dyDescent="0.45">
      <c r="A38" s="1"/>
      <c r="B38" s="45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wzPUESKJgZh5zWbe6WOaDymB4YXjeABAStLiwy4FLHc8vJzVqPrqkwg/ThxfeOX+dddHjONzogsWuDGHq/ERkQ==" saltValue="MTOrhszyTXvT54C9KJPap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8" t="s">
        <v>213</v>
      </c>
      <c r="C3" s="98"/>
      <c r="D3" s="98"/>
      <c r="E3" s="98"/>
      <c r="F3" s="98"/>
      <c r="G3" s="1"/>
    </row>
    <row r="4" spans="1:7" ht="25.5" customHeight="1" x14ac:dyDescent="0.45">
      <c r="A4" s="1"/>
      <c r="B4" s="98"/>
      <c r="C4" s="98"/>
      <c r="D4" s="98"/>
      <c r="E4" s="98"/>
      <c r="F4" s="9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156</v>
      </c>
      <c r="C8" s="103"/>
      <c r="D8" s="103"/>
      <c r="E8" s="103"/>
      <c r="F8" s="104"/>
      <c r="G8" s="1"/>
    </row>
    <row r="9" spans="1:7" ht="15" customHeight="1" x14ac:dyDescent="0.45">
      <c r="A9" s="1"/>
      <c r="B9" s="49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45">
      <c r="A10" s="1"/>
      <c r="B10" s="28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4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4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8" t="s">
        <v>212</v>
      </c>
      <c r="C3" s="98"/>
      <c r="D3" s="98"/>
      <c r="E3" s="98"/>
      <c r="F3" s="98"/>
      <c r="G3" s="1"/>
    </row>
    <row r="4" spans="1:7" ht="25.5" customHeight="1" x14ac:dyDescent="0.45">
      <c r="A4" s="1"/>
      <c r="B4" s="98"/>
      <c r="C4" s="98"/>
      <c r="D4" s="98"/>
      <c r="E4" s="98"/>
      <c r="F4" s="9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02" t="s">
        <v>111</v>
      </c>
      <c r="C8" s="103"/>
      <c r="D8" s="103"/>
      <c r="E8" s="103"/>
      <c r="F8" s="104"/>
      <c r="G8" s="1"/>
    </row>
    <row r="9" spans="1:7" ht="15" customHeight="1" x14ac:dyDescent="0.45">
      <c r="A9" s="1"/>
      <c r="B9" s="49" t="s">
        <v>17</v>
      </c>
      <c r="C9" s="49" t="s">
        <v>11</v>
      </c>
      <c r="D9" s="50"/>
      <c r="E9" s="49" t="s">
        <v>34</v>
      </c>
      <c r="F9" s="50"/>
      <c r="G9" s="1"/>
    </row>
    <row r="10" spans="1:7" x14ac:dyDescent="0.45">
      <c r="A10" s="1"/>
      <c r="B10" s="28" t="s">
        <v>240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47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47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02" t="s">
        <v>110</v>
      </c>
      <c r="C15" s="103"/>
      <c r="D15" s="103"/>
      <c r="E15" s="103"/>
      <c r="F15" s="104"/>
      <c r="G15" s="1"/>
    </row>
    <row r="16" spans="1:7" x14ac:dyDescent="0.45">
      <c r="A16" s="1"/>
      <c r="B16" s="49" t="s">
        <v>17</v>
      </c>
      <c r="C16" s="49" t="s">
        <v>11</v>
      </c>
      <c r="D16" s="50"/>
      <c r="E16" s="49" t="s">
        <v>34</v>
      </c>
      <c r="F16" s="50"/>
      <c r="G16" s="1"/>
    </row>
    <row r="17" spans="1:7" x14ac:dyDescent="0.45">
      <c r="A17" s="1"/>
      <c r="B17" s="28" t="s">
        <v>240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47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47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02" t="s">
        <v>112</v>
      </c>
      <c r="C22" s="103"/>
      <c r="D22" s="103"/>
      <c r="E22" s="103"/>
      <c r="F22" s="104"/>
      <c r="G22" s="1"/>
    </row>
    <row r="23" spans="1:7" x14ac:dyDescent="0.45">
      <c r="A23" s="1"/>
      <c r="B23" s="49" t="s">
        <v>17</v>
      </c>
      <c r="C23" s="49" t="s">
        <v>11</v>
      </c>
      <c r="D23" s="50"/>
      <c r="E23" s="49" t="s">
        <v>34</v>
      </c>
      <c r="F23" s="50"/>
      <c r="G23" s="1"/>
    </row>
    <row r="24" spans="1:7" x14ac:dyDescent="0.45">
      <c r="A24" s="1"/>
      <c r="B24" s="28" t="s">
        <v>240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47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47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02" t="s">
        <v>182</v>
      </c>
      <c r="C29" s="103"/>
      <c r="D29" s="103"/>
      <c r="E29" s="103"/>
      <c r="F29" s="104"/>
      <c r="G29" s="1"/>
    </row>
    <row r="30" spans="1:7" x14ac:dyDescent="0.45">
      <c r="A30" s="1"/>
      <c r="B30" s="49" t="s">
        <v>17</v>
      </c>
      <c r="C30" s="49" t="s">
        <v>11</v>
      </c>
      <c r="D30" s="50"/>
      <c r="E30" s="49" t="s">
        <v>34</v>
      </c>
      <c r="F30" s="50"/>
      <c r="G30" s="1"/>
    </row>
    <row r="31" spans="1:7" x14ac:dyDescent="0.45">
      <c r="A31" s="1"/>
      <c r="B31" s="28" t="s">
        <v>240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47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47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8" t="s">
        <v>211</v>
      </c>
      <c r="C3" s="98"/>
      <c r="D3" s="1"/>
    </row>
    <row r="4" spans="1:4" ht="25.5" customHeight="1" x14ac:dyDescent="0.45">
      <c r="A4" s="1"/>
      <c r="B4" s="98"/>
      <c r="C4" s="98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47" t="s">
        <v>14</v>
      </c>
      <c r="C8" s="23"/>
      <c r="D8" s="1"/>
    </row>
    <row r="9" spans="1:4" x14ac:dyDescent="0.45">
      <c r="A9" s="1"/>
      <c r="B9" s="55" t="s">
        <v>141</v>
      </c>
      <c r="C9" s="29">
        <v>1.2699999999999999E-2</v>
      </c>
      <c r="D9" s="1"/>
    </row>
    <row r="10" spans="1:4" x14ac:dyDescent="0.45">
      <c r="A10" s="1"/>
      <c r="B10" s="55" t="s">
        <v>22</v>
      </c>
      <c r="C10" s="29">
        <v>1.7500000000000002E-2</v>
      </c>
      <c r="D10" s="1"/>
    </row>
    <row r="11" spans="1:4" x14ac:dyDescent="0.45">
      <c r="A11" s="1"/>
      <c r="B11" s="55" t="s">
        <v>142</v>
      </c>
      <c r="C11" s="29">
        <v>1.6899999999999998E-2</v>
      </c>
      <c r="D11" s="1"/>
    </row>
    <row r="12" spans="1:4" x14ac:dyDescent="0.45">
      <c r="A12" s="1"/>
      <c r="B12" s="37" t="s">
        <v>47</v>
      </c>
      <c r="C12" s="38">
        <v>1.9699999999999999E-2</v>
      </c>
      <c r="D12" s="1"/>
    </row>
    <row r="13" spans="1:4" x14ac:dyDescent="0.45">
      <c r="A13" s="1"/>
      <c r="B13" s="37" t="s">
        <v>178</v>
      </c>
      <c r="C13" s="38">
        <v>1.2200000000000001E-2</v>
      </c>
      <c r="D13" s="1"/>
    </row>
    <row r="14" spans="1:4" x14ac:dyDescent="0.45">
      <c r="A14" s="1"/>
      <c r="B14" s="102"/>
      <c r="C14" s="104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47" t="s">
        <v>126</v>
      </c>
      <c r="C17" s="23"/>
      <c r="D17" s="1"/>
    </row>
    <row r="18" spans="1:4" x14ac:dyDescent="0.45">
      <c r="A18" s="1"/>
      <c r="B18" s="55" t="s">
        <v>143</v>
      </c>
      <c r="C18" s="26">
        <v>9.1000000000000004E-3</v>
      </c>
      <c r="D18" s="1"/>
    </row>
    <row r="19" spans="1:4" x14ac:dyDescent="0.45">
      <c r="A19" s="1"/>
      <c r="B19" s="55" t="s">
        <v>144</v>
      </c>
      <c r="C19" s="26">
        <v>1.77E-2</v>
      </c>
      <c r="D19" s="1"/>
    </row>
    <row r="20" spans="1:4" x14ac:dyDescent="0.45">
      <c r="A20" s="1"/>
      <c r="B20" s="55" t="s">
        <v>145</v>
      </c>
      <c r="C20" s="26">
        <v>8.6999999999999994E-3</v>
      </c>
      <c r="D20" s="1"/>
    </row>
    <row r="21" spans="1:4" x14ac:dyDescent="0.45">
      <c r="A21" s="1"/>
      <c r="B21" s="55" t="s">
        <v>146</v>
      </c>
      <c r="C21" s="39">
        <v>2.8400000000000002E-2</v>
      </c>
      <c r="D21" s="1"/>
    </row>
    <row r="22" spans="1:4" x14ac:dyDescent="0.45">
      <c r="A22" s="1"/>
      <c r="B22" s="55" t="s">
        <v>186</v>
      </c>
      <c r="C22" s="39">
        <v>2.75E-2</v>
      </c>
      <c r="D22" s="1"/>
    </row>
    <row r="23" spans="1:4" x14ac:dyDescent="0.45">
      <c r="A23" s="1"/>
      <c r="B23" s="47"/>
      <c r="C23" s="23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47" t="s">
        <v>127</v>
      </c>
      <c r="C26" s="23"/>
      <c r="D26" s="1"/>
    </row>
    <row r="27" spans="1:4" x14ac:dyDescent="0.45">
      <c r="A27" s="1"/>
      <c r="B27" s="55" t="s">
        <v>147</v>
      </c>
      <c r="C27" s="29">
        <v>0.02</v>
      </c>
      <c r="D27" s="1"/>
    </row>
    <row r="28" spans="1:4" x14ac:dyDescent="0.45">
      <c r="A28" s="1"/>
      <c r="B28" s="47"/>
      <c r="C28" s="23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9" t="s">
        <v>161</v>
      </c>
      <c r="C3" s="79"/>
      <c r="D3" s="79"/>
      <c r="E3" s="1"/>
    </row>
    <row r="4" spans="1:5" ht="15" customHeight="1" x14ac:dyDescent="0.45">
      <c r="A4" s="1"/>
      <c r="B4" s="79"/>
      <c r="C4" s="79"/>
      <c r="D4" s="7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7" t="s">
        <v>13</v>
      </c>
      <c r="C8" s="48"/>
      <c r="D8" s="23"/>
      <c r="E8" s="1"/>
    </row>
    <row r="9" spans="1:5" x14ac:dyDescent="0.45">
      <c r="A9" s="1"/>
      <c r="B9" s="51" t="s">
        <v>25</v>
      </c>
      <c r="C9" s="7">
        <f>'Fane 3. Omkostninger i ØR2020'!E20</f>
        <v>12017175.023646833</v>
      </c>
      <c r="D9" s="8" t="s">
        <v>3</v>
      </c>
      <c r="E9" s="1"/>
    </row>
    <row r="10" spans="1:5" ht="17.100000000000001" customHeight="1" x14ac:dyDescent="0.45">
      <c r="A10" s="1"/>
      <c r="B10" s="34" t="s">
        <v>45</v>
      </c>
      <c r="C10" s="7">
        <f>'Fane 9.1. Varige tillæg'!C14</f>
        <v>702484.0074</v>
      </c>
      <c r="D10" s="8" t="s">
        <v>3</v>
      </c>
      <c r="E10" s="1"/>
    </row>
    <row r="11" spans="1:5" ht="17.100000000000001" customHeight="1" x14ac:dyDescent="0.45">
      <c r="A11" s="1"/>
      <c r="B11" s="34" t="s">
        <v>46</v>
      </c>
      <c r="C11" s="9">
        <f>'Fane 9.1. Varige tillæg'!E14</f>
        <v>281640.49998000002</v>
      </c>
      <c r="D11" s="8" t="s">
        <v>3</v>
      </c>
      <c r="E11" s="1"/>
    </row>
    <row r="12" spans="1:5" ht="17.100000000000001" customHeight="1" x14ac:dyDescent="0.45">
      <c r="A12" s="1"/>
      <c r="B12" s="34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4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4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34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34" t="s">
        <v>18</v>
      </c>
      <c r="C16" s="9">
        <f>SUM(C9:C15)*'Fane 12. Nøgletal'!C13</f>
        <v>158615.8542785274</v>
      </c>
      <c r="D16" s="8" t="s">
        <v>3</v>
      </c>
      <c r="E16" s="1"/>
    </row>
    <row r="17" spans="1:5" ht="17.100000000000001" customHeight="1" x14ac:dyDescent="0.45">
      <c r="A17" s="1"/>
      <c r="B17" s="34" t="s">
        <v>9</v>
      </c>
      <c r="C17" s="9">
        <f>-SUM(C9:C16)*'Fane 5. Individuelt eff. krav'!G10</f>
        <v>-144342.77332376523</v>
      </c>
      <c r="D17" s="8" t="s">
        <v>3</v>
      </c>
      <c r="E17" s="1"/>
    </row>
    <row r="18" spans="1:5" ht="17.100000000000001" customHeight="1" x14ac:dyDescent="0.45">
      <c r="A18" s="1"/>
      <c r="B18" s="34" t="s">
        <v>27</v>
      </c>
      <c r="C18" s="9">
        <f>-'Fane 4.1. Gen. krav - drift'!G31</f>
        <v>-127948.39676368168</v>
      </c>
      <c r="D18" s="8" t="s">
        <v>3</v>
      </c>
      <c r="E18" s="1"/>
    </row>
    <row r="19" spans="1:5" ht="17.100000000000001" customHeight="1" x14ac:dyDescent="0.45">
      <c r="A19" s="1"/>
      <c r="B19" s="34" t="s">
        <v>28</v>
      </c>
      <c r="C19" s="9">
        <f>-'Fane 4.2. Gen. krav - anlæg'!G31</f>
        <v>-193620.8329913007</v>
      </c>
      <c r="D19" s="8" t="s">
        <v>3</v>
      </c>
      <c r="E19" s="1"/>
    </row>
    <row r="20" spans="1:5" ht="17.100000000000001" customHeight="1" x14ac:dyDescent="0.45">
      <c r="A20" s="1"/>
      <c r="B20" s="56" t="s">
        <v>20</v>
      </c>
      <c r="C20" s="10">
        <f>SUM(C9:C19)</f>
        <v>12694003.382226614</v>
      </c>
      <c r="D20" s="11" t="s">
        <v>3</v>
      </c>
      <c r="E20" s="1"/>
    </row>
    <row r="21" spans="1:5" ht="15" customHeight="1" x14ac:dyDescent="0.45">
      <c r="A21" s="1"/>
      <c r="B21" s="47" t="s">
        <v>12</v>
      </c>
      <c r="C21" s="48"/>
      <c r="D21" s="23"/>
      <c r="E21" s="1"/>
    </row>
    <row r="22" spans="1:5" ht="15" customHeight="1" x14ac:dyDescent="0.45">
      <c r="A22" s="1"/>
      <c r="B22" s="49" t="s">
        <v>12</v>
      </c>
      <c r="C22" s="10">
        <f>'Fane 6. Ikke-påvirkelige omk.'!C17</f>
        <v>7570916.9723149203</v>
      </c>
      <c r="D22" s="11" t="s">
        <v>3</v>
      </c>
      <c r="E22" s="1"/>
    </row>
    <row r="23" spans="1:5" ht="15" customHeight="1" x14ac:dyDescent="0.45">
      <c r="A23" s="1"/>
      <c r="B23" s="47" t="s">
        <v>99</v>
      </c>
      <c r="C23" s="48"/>
      <c r="D23" s="23"/>
      <c r="E23" s="1"/>
    </row>
    <row r="24" spans="1:5" ht="15" customHeight="1" x14ac:dyDescent="0.45">
      <c r="A24" s="1"/>
      <c r="B24" s="34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45">
      <c r="A25" s="1"/>
      <c r="B25" s="34" t="s">
        <v>96</v>
      </c>
      <c r="C25" s="9">
        <f>'Fane 9.2. Engangstillæg'!E14</f>
        <v>0</v>
      </c>
      <c r="D25" s="8" t="s">
        <v>3</v>
      </c>
      <c r="E25" s="1"/>
    </row>
    <row r="26" spans="1:5" x14ac:dyDescent="0.45">
      <c r="A26" s="1"/>
      <c r="B26" s="56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45">
      <c r="A27" s="1"/>
      <c r="B27" s="41" t="s">
        <v>204</v>
      </c>
      <c r="C27" s="48"/>
      <c r="D27" s="23"/>
      <c r="E27" s="1"/>
    </row>
    <row r="28" spans="1:5" x14ac:dyDescent="0.45">
      <c r="A28" s="1"/>
      <c r="B28" s="57" t="s">
        <v>205</v>
      </c>
      <c r="C28" s="10">
        <f>'Fane 7. Kontrol af ØR2019'!E39</f>
        <v>-712100.64394238591</v>
      </c>
      <c r="D28" s="11" t="s">
        <v>3</v>
      </c>
      <c r="E28" s="1"/>
    </row>
    <row r="29" spans="1:5" x14ac:dyDescent="0.45">
      <c r="A29" s="1"/>
      <c r="B29" s="47" t="s">
        <v>31</v>
      </c>
      <c r="C29" s="35">
        <f>SUM(C20,C22,C26,C28)</f>
        <v>19552819.710599147</v>
      </c>
      <c r="D29" s="2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9" t="s">
        <v>162</v>
      </c>
      <c r="C3" s="79"/>
      <c r="D3" s="79"/>
      <c r="E3" s="1"/>
    </row>
    <row r="4" spans="1:5" ht="15" customHeight="1" x14ac:dyDescent="0.45">
      <c r="A4" s="1"/>
      <c r="B4" s="79"/>
      <c r="C4" s="79"/>
      <c r="D4" s="79"/>
      <c r="E4" s="1"/>
    </row>
    <row r="5" spans="1:5" x14ac:dyDescent="0.45">
      <c r="A5" s="1"/>
      <c r="B5" s="80"/>
      <c r="C5" s="80"/>
      <c r="D5" s="8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47" t="s">
        <v>13</v>
      </c>
      <c r="C8" s="48"/>
      <c r="D8" s="23"/>
      <c r="E8" s="1"/>
    </row>
    <row r="9" spans="1:5" ht="15" customHeight="1" x14ac:dyDescent="0.45">
      <c r="A9" s="1"/>
      <c r="B9" s="51" t="s">
        <v>26</v>
      </c>
      <c r="C9" s="7">
        <f>'Fane 2.1. Økonomisk ramme 2021'!C20</f>
        <v>12694003.382226614</v>
      </c>
      <c r="D9" s="8" t="s">
        <v>3</v>
      </c>
      <c r="E9" s="1"/>
    </row>
    <row r="10" spans="1:5" ht="15" customHeight="1" x14ac:dyDescent="0.45">
      <c r="A10" s="1"/>
      <c r="B10" s="34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45">
      <c r="A11" s="1"/>
      <c r="B11" s="34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45">
      <c r="A12" s="1"/>
      <c r="B12" s="46" t="s">
        <v>18</v>
      </c>
      <c r="C12" s="9">
        <f>SUM(C9:C11)*'Fane 12. Nøgletal'!C13</f>
        <v>154866.84126316471</v>
      </c>
      <c r="D12" s="8" t="s">
        <v>3</v>
      </c>
      <c r="E12" s="1"/>
    </row>
    <row r="13" spans="1:5" ht="15" customHeight="1" x14ac:dyDescent="0.45">
      <c r="A13" s="1"/>
      <c r="B13" s="46" t="s">
        <v>9</v>
      </c>
      <c r="C13" s="9">
        <f>-SUM(C9:C12)*'Fane 5. Individuelt eff. krav'!G10</f>
        <v>-140931.11603183966</v>
      </c>
      <c r="D13" s="8" t="s">
        <v>3</v>
      </c>
      <c r="E13" s="1"/>
    </row>
    <row r="14" spans="1:5" ht="15" customHeight="1" x14ac:dyDescent="0.45">
      <c r="A14" s="1"/>
      <c r="B14" s="46" t="s">
        <v>27</v>
      </c>
      <c r="C14" s="9">
        <f>-'Fane 4.1. Gen. krav - drift'!G37</f>
        <v>-126919.17986011463</v>
      </c>
      <c r="D14" s="8" t="s">
        <v>3</v>
      </c>
      <c r="E14" s="1"/>
    </row>
    <row r="15" spans="1:5" ht="15" customHeight="1" x14ac:dyDescent="0.45">
      <c r="A15" s="1"/>
      <c r="B15" s="46" t="s">
        <v>28</v>
      </c>
      <c r="C15" s="9">
        <f>-'Fane 4.2. Gen. krav - anlæg'!G37</f>
        <v>-190593.47445706523</v>
      </c>
      <c r="D15" s="8" t="s">
        <v>3</v>
      </c>
      <c r="E15" s="1"/>
    </row>
    <row r="16" spans="1:5" ht="15" customHeight="1" x14ac:dyDescent="0.45">
      <c r="A16" s="1"/>
      <c r="B16" s="52" t="s">
        <v>20</v>
      </c>
      <c r="C16" s="10">
        <f>SUM(C9:C15)</f>
        <v>12390426.453140758</v>
      </c>
      <c r="D16" s="11" t="s">
        <v>3</v>
      </c>
      <c r="E16" s="1"/>
    </row>
    <row r="17" spans="1:5" x14ac:dyDescent="0.45">
      <c r="A17" s="1"/>
      <c r="B17" s="47" t="s">
        <v>12</v>
      </c>
      <c r="C17" s="48"/>
      <c r="D17" s="23"/>
      <c r="E17" s="1"/>
    </row>
    <row r="18" spans="1:5" ht="15" customHeight="1" x14ac:dyDescent="0.45">
      <c r="A18" s="1"/>
      <c r="B18" s="49" t="s">
        <v>12</v>
      </c>
      <c r="C18" s="10">
        <f>'Fane 6. Ikke-påvirkelige omk.'!C17*(1+'Fane 12. Nøgletal'!C13)</f>
        <v>7663282.1593771623</v>
      </c>
      <c r="D18" s="11" t="s">
        <v>3</v>
      </c>
      <c r="E18" s="1"/>
    </row>
    <row r="19" spans="1:5" ht="15" customHeight="1" x14ac:dyDescent="0.45">
      <c r="A19" s="1"/>
      <c r="B19" s="47" t="s">
        <v>99</v>
      </c>
      <c r="C19" s="48"/>
      <c r="D19" s="23"/>
      <c r="E19" s="1"/>
    </row>
    <row r="20" spans="1:5" ht="15" customHeight="1" x14ac:dyDescent="0.45">
      <c r="A20" s="1"/>
      <c r="B20" s="34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45">
      <c r="A21" s="1"/>
      <c r="B21" s="34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45">
      <c r="A22" s="1"/>
      <c r="B22" s="56" t="s">
        <v>100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41" t="s">
        <v>204</v>
      </c>
      <c r="C23" s="48"/>
      <c r="D23" s="23"/>
      <c r="E23" s="1"/>
    </row>
    <row r="24" spans="1:5" ht="15" customHeight="1" x14ac:dyDescent="0.45">
      <c r="A24" s="1"/>
      <c r="B24" s="57" t="s">
        <v>205</v>
      </c>
      <c r="C24" s="10">
        <f>'Fane 7. Kontrol af ØR2019'!E39</f>
        <v>-712100.64394238591</v>
      </c>
      <c r="D24" s="11" t="s">
        <v>3</v>
      </c>
      <c r="E24" s="1"/>
    </row>
    <row r="25" spans="1:5" x14ac:dyDescent="0.45">
      <c r="A25" s="1"/>
      <c r="B25" s="47" t="s">
        <v>32</v>
      </c>
      <c r="C25" s="12">
        <f>SUM(C16,C18,C22,C24)</f>
        <v>19341607.968575533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9" t="s">
        <v>163</v>
      </c>
      <c r="C3" s="79"/>
      <c r="D3" s="79"/>
      <c r="E3" s="1"/>
    </row>
    <row r="4" spans="1:5" ht="15" customHeight="1" x14ac:dyDescent="0.45">
      <c r="A4" s="1"/>
      <c r="B4" s="79"/>
      <c r="C4" s="79"/>
      <c r="D4" s="79"/>
      <c r="E4" s="1"/>
    </row>
    <row r="5" spans="1:5" x14ac:dyDescent="0.45">
      <c r="A5" s="1"/>
      <c r="B5" s="80" t="s">
        <v>21</v>
      </c>
      <c r="C5" s="80"/>
      <c r="D5" s="8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7" t="s">
        <v>13</v>
      </c>
      <c r="C7" s="48"/>
      <c r="D7" s="23"/>
      <c r="E7" s="1"/>
    </row>
    <row r="8" spans="1:5" ht="15" customHeight="1" x14ac:dyDescent="0.45">
      <c r="A8" s="1"/>
      <c r="B8" s="51" t="s">
        <v>165</v>
      </c>
      <c r="C8" s="7">
        <f>'Fane 2.2. Økonomisk ramme 2022'!C16</f>
        <v>12390426.453140758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Nøgletal'!C13</f>
        <v>151163.20272831726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-137560.75018827207</v>
      </c>
      <c r="D12" s="8" t="s">
        <v>3</v>
      </c>
      <c r="E12" s="1"/>
    </row>
    <row r="13" spans="1:5" ht="15" customHeight="1" x14ac:dyDescent="0.45">
      <c r="A13" s="1"/>
      <c r="B13" s="46" t="s">
        <v>27</v>
      </c>
      <c r="C13" s="9">
        <f>-'Fane 4.1. Gen. krav - drift'!G43</f>
        <v>-125898.24197731985</v>
      </c>
      <c r="D13" s="8" t="s">
        <v>3</v>
      </c>
      <c r="E13" s="1"/>
    </row>
    <row r="14" spans="1:5" ht="15" customHeight="1" x14ac:dyDescent="0.45">
      <c r="A14" s="1"/>
      <c r="B14" s="46" t="s">
        <v>28</v>
      </c>
      <c r="C14" s="9">
        <f>-'Fane 4.2. Gen. krav - anlæg'!G43</f>
        <v>-187613.45018719177</v>
      </c>
      <c r="D14" s="8" t="s">
        <v>3</v>
      </c>
      <c r="E14" s="1"/>
    </row>
    <row r="15" spans="1:5" x14ac:dyDescent="0.45">
      <c r="A15" s="1"/>
      <c r="B15" s="52" t="s">
        <v>20</v>
      </c>
      <c r="C15" s="10">
        <f>SUM(C8:C14)</f>
        <v>12090517.213516293</v>
      </c>
      <c r="D15" s="11" t="s">
        <v>3</v>
      </c>
      <c r="E15" s="1"/>
    </row>
    <row r="16" spans="1:5" x14ac:dyDescent="0.45">
      <c r="A16" s="1"/>
      <c r="B16" s="47" t="s">
        <v>12</v>
      </c>
      <c r="C16" s="48"/>
      <c r="D16" s="23"/>
      <c r="E16" s="1"/>
    </row>
    <row r="17" spans="1:5" ht="15" customHeight="1" x14ac:dyDescent="0.45">
      <c r="A17" s="1"/>
      <c r="B17" s="49" t="s">
        <v>12</v>
      </c>
      <c r="C17" s="10">
        <f>'Fane 6. Ikke-påvirkelige omk.'!C17*(1+'Fane 12. Nøgletal'!C13)^2</f>
        <v>7756774.2017215639</v>
      </c>
      <c r="D17" s="11" t="s">
        <v>3</v>
      </c>
      <c r="E17" s="1"/>
    </row>
    <row r="18" spans="1:5" ht="15" customHeight="1" x14ac:dyDescent="0.45">
      <c r="A18" s="1"/>
      <c r="B18" s="47" t="s">
        <v>99</v>
      </c>
      <c r="C18" s="48"/>
      <c r="D18" s="23"/>
      <c r="E18" s="1"/>
    </row>
    <row r="19" spans="1:5" ht="15" customHeight="1" x14ac:dyDescent="0.45">
      <c r="A19" s="1"/>
      <c r="B19" s="34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4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56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47" t="s">
        <v>109</v>
      </c>
      <c r="C22" s="12">
        <f>SUM(C15,C17,C21)</f>
        <v>19847291.415237859</v>
      </c>
      <c r="D22" s="13" t="s">
        <v>3</v>
      </c>
      <c r="E22" s="1"/>
    </row>
    <row r="23" spans="1:5" ht="15" customHeight="1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9" t="s">
        <v>164</v>
      </c>
      <c r="C3" s="79"/>
      <c r="D3" s="79"/>
      <c r="E3" s="1"/>
    </row>
    <row r="4" spans="1:5" ht="15" customHeight="1" x14ac:dyDescent="0.45">
      <c r="A4" s="1"/>
      <c r="B4" s="79"/>
      <c r="C4" s="79"/>
      <c r="D4" s="79"/>
      <c r="E4" s="1"/>
    </row>
    <row r="5" spans="1:5" x14ac:dyDescent="0.45">
      <c r="A5" s="1"/>
      <c r="B5" s="80" t="s">
        <v>21</v>
      </c>
      <c r="C5" s="80"/>
      <c r="D5" s="8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47" t="s">
        <v>13</v>
      </c>
      <c r="C7" s="48"/>
      <c r="D7" s="23"/>
      <c r="E7" s="1"/>
    </row>
    <row r="8" spans="1:5" ht="15" customHeight="1" x14ac:dyDescent="0.45">
      <c r="A8" s="1"/>
      <c r="B8" s="51" t="s">
        <v>166</v>
      </c>
      <c r="C8" s="7">
        <f>'Fane 2.3. Økonomisk ramme 2023'!C15</f>
        <v>12090517.213516293</v>
      </c>
      <c r="D8" s="8" t="s">
        <v>3</v>
      </c>
      <c r="E8" s="1"/>
    </row>
    <row r="9" spans="1:5" ht="15" customHeight="1" x14ac:dyDescent="0.45">
      <c r="A9" s="1"/>
      <c r="B9" s="51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Nøgletal'!C13</f>
        <v>147504.31000489878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-134231.10369489586</v>
      </c>
      <c r="D12" s="8" t="s">
        <v>3</v>
      </c>
      <c r="E12" s="1"/>
    </row>
    <row r="13" spans="1:5" ht="15" customHeight="1" x14ac:dyDescent="0.45">
      <c r="A13" s="1"/>
      <c r="B13" s="46" t="s">
        <v>27</v>
      </c>
      <c r="C13" s="9">
        <f>-'Fane 4.1. Gen. krav - drift'!G49</f>
        <v>-124885.51651885427</v>
      </c>
      <c r="D13" s="8" t="s">
        <v>3</v>
      </c>
      <c r="E13" s="1"/>
    </row>
    <row r="14" spans="1:5" ht="15" customHeight="1" x14ac:dyDescent="0.45">
      <c r="A14" s="1"/>
      <c r="B14" s="46" t="s">
        <v>28</v>
      </c>
      <c r="C14" s="9">
        <f>-'Fane 4.2. Gen. krav - anlæg'!G49</f>
        <v>-184680.02008678994</v>
      </c>
      <c r="D14" s="8" t="s">
        <v>3</v>
      </c>
      <c r="E14" s="1"/>
    </row>
    <row r="15" spans="1:5" x14ac:dyDescent="0.45">
      <c r="A15" s="1"/>
      <c r="B15" s="52" t="s">
        <v>20</v>
      </c>
      <c r="C15" s="10">
        <f>SUM(C8:C14)</f>
        <v>11794224.883220654</v>
      </c>
      <c r="D15" s="11" t="s">
        <v>3</v>
      </c>
      <c r="E15" s="1"/>
    </row>
    <row r="16" spans="1:5" x14ac:dyDescent="0.45">
      <c r="A16" s="1"/>
      <c r="B16" s="47" t="s">
        <v>12</v>
      </c>
      <c r="C16" s="48"/>
      <c r="D16" s="23"/>
      <c r="E16" s="1"/>
    </row>
    <row r="17" spans="1:5" ht="15" customHeight="1" x14ac:dyDescent="0.45">
      <c r="A17" s="1"/>
      <c r="B17" s="49" t="s">
        <v>12</v>
      </c>
      <c r="C17" s="10">
        <f>'Fane 6. Ikke-påvirkelige omk.'!C17*(1+'Fane 12. Nøgletal'!C13)^3</f>
        <v>7851406.8469825676</v>
      </c>
      <c r="D17" s="11" t="s">
        <v>3</v>
      </c>
      <c r="E17" s="1"/>
    </row>
    <row r="18" spans="1:5" ht="15" customHeight="1" x14ac:dyDescent="0.45">
      <c r="A18" s="1"/>
      <c r="B18" s="47" t="s">
        <v>99</v>
      </c>
      <c r="C18" s="48"/>
      <c r="D18" s="23"/>
      <c r="E18" s="1"/>
    </row>
    <row r="19" spans="1:5" ht="15" customHeight="1" x14ac:dyDescent="0.45">
      <c r="A19" s="1"/>
      <c r="B19" s="34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4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56" t="s">
        <v>100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47" t="s">
        <v>242</v>
      </c>
      <c r="C22" s="12">
        <f>SUM(C15,C17,C21)</f>
        <v>19645631.730203222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8" t="s">
        <v>180</v>
      </c>
      <c r="C3" s="98"/>
      <c r="D3" s="98"/>
      <c r="E3" s="98"/>
      <c r="F3" s="98"/>
      <c r="G3" s="1"/>
    </row>
    <row r="4" spans="1:7" ht="29.25" customHeight="1" x14ac:dyDescent="0.45">
      <c r="A4" s="1"/>
      <c r="B4" s="98"/>
      <c r="C4" s="98"/>
      <c r="D4" s="98"/>
      <c r="E4" s="98"/>
      <c r="F4" s="9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47" t="s">
        <v>167</v>
      </c>
      <c r="C8" s="48"/>
      <c r="D8" s="48"/>
      <c r="E8" s="48"/>
      <c r="F8" s="23"/>
      <c r="G8" s="1"/>
    </row>
    <row r="9" spans="1:7" x14ac:dyDescent="0.45">
      <c r="A9" s="1"/>
      <c r="B9" s="99" t="s">
        <v>23</v>
      </c>
      <c r="C9" s="100"/>
      <c r="D9" s="101"/>
      <c r="E9" s="7">
        <v>11954475.499582166</v>
      </c>
      <c r="F9" s="8" t="s">
        <v>3</v>
      </c>
      <c r="G9" s="1"/>
    </row>
    <row r="10" spans="1:7" ht="15" customHeight="1" x14ac:dyDescent="0.45">
      <c r="A10" s="1"/>
      <c r="B10" s="84" t="s">
        <v>45</v>
      </c>
      <c r="C10" s="85"/>
      <c r="D10" s="86"/>
      <c r="E10" s="7">
        <v>0</v>
      </c>
      <c r="F10" s="8" t="s">
        <v>3</v>
      </c>
      <c r="G10" s="1"/>
    </row>
    <row r="11" spans="1:7" ht="15" customHeight="1" x14ac:dyDescent="0.45">
      <c r="A11" s="1"/>
      <c r="B11" s="84" t="s">
        <v>46</v>
      </c>
      <c r="C11" s="85"/>
      <c r="D11" s="86"/>
      <c r="E11" s="9">
        <v>120518.24103</v>
      </c>
      <c r="F11" s="8" t="s">
        <v>3</v>
      </c>
      <c r="G11" s="1"/>
    </row>
    <row r="12" spans="1:7" x14ac:dyDescent="0.45">
      <c r="A12" s="1"/>
      <c r="B12" s="84" t="s">
        <v>30</v>
      </c>
      <c r="C12" s="85"/>
      <c r="D12" s="86"/>
      <c r="E12" s="9">
        <v>0</v>
      </c>
      <c r="F12" s="8" t="s">
        <v>3</v>
      </c>
      <c r="G12" s="1"/>
    </row>
    <row r="13" spans="1:7" x14ac:dyDescent="0.45">
      <c r="A13" s="1"/>
      <c r="B13" s="84" t="s">
        <v>29</v>
      </c>
      <c r="C13" s="85"/>
      <c r="D13" s="86"/>
      <c r="E13" s="9">
        <v>0</v>
      </c>
      <c r="F13" s="8" t="s">
        <v>3</v>
      </c>
      <c r="G13" s="1"/>
    </row>
    <row r="14" spans="1:7" x14ac:dyDescent="0.45">
      <c r="A14" s="1"/>
      <c r="B14" s="84" t="s">
        <v>159</v>
      </c>
      <c r="C14" s="85"/>
      <c r="D14" s="86"/>
      <c r="E14" s="9">
        <v>0</v>
      </c>
      <c r="F14" s="8" t="s">
        <v>3</v>
      </c>
      <c r="G14" s="1"/>
    </row>
    <row r="15" spans="1:7" x14ac:dyDescent="0.45">
      <c r="A15" s="1"/>
      <c r="B15" s="84" t="s">
        <v>160</v>
      </c>
      <c r="C15" s="85"/>
      <c r="D15" s="86"/>
      <c r="E15" s="9">
        <v>0</v>
      </c>
      <c r="F15" s="8" t="s">
        <v>3</v>
      </c>
      <c r="G15" s="1"/>
    </row>
    <row r="16" spans="1:7" x14ac:dyDescent="0.45">
      <c r="A16" s="1"/>
      <c r="B16" s="84" t="s">
        <v>18</v>
      </c>
      <c r="C16" s="85"/>
      <c r="D16" s="86"/>
      <c r="E16" s="9">
        <f>E9*'Fane 12. Nøgletal'!C11+SUM(E10:E15)*'Fane 12. Nøgletal'!C12</f>
        <v>204404.84529122961</v>
      </c>
      <c r="F16" s="8" t="s">
        <v>3</v>
      </c>
      <c r="G16" s="1"/>
    </row>
    <row r="17" spans="1:7" x14ac:dyDescent="0.45">
      <c r="A17" s="1"/>
      <c r="B17" s="84" t="s">
        <v>9</v>
      </c>
      <c r="C17" s="85"/>
      <c r="D17" s="86"/>
      <c r="E17" s="9">
        <f>-SUM(E9:E16)*'Fane 5. Individuelt eff. krav'!G9</f>
        <v>-86556.154435789169</v>
      </c>
      <c r="F17" s="8" t="s">
        <v>3</v>
      </c>
      <c r="G17" s="1"/>
    </row>
    <row r="18" spans="1:7" x14ac:dyDescent="0.45">
      <c r="A18" s="1"/>
      <c r="B18" s="84" t="s">
        <v>27</v>
      </c>
      <c r="C18" s="85"/>
      <c r="D18" s="86"/>
      <c r="E18" s="9">
        <f>-'Fane 4.1. Gen. krav - drift'!G25</f>
        <v>-114649.55151022432</v>
      </c>
      <c r="F18" s="8" t="s">
        <v>3</v>
      </c>
      <c r="G18" s="1"/>
    </row>
    <row r="19" spans="1:7" x14ac:dyDescent="0.45">
      <c r="A19" s="1"/>
      <c r="B19" s="84" t="s">
        <v>28</v>
      </c>
      <c r="C19" s="85"/>
      <c r="D19" s="86"/>
      <c r="E19" s="9">
        <f>-'Fane 4.2. Gen. krav - anlæg'!G25</f>
        <v>-61017.856310548472</v>
      </c>
      <c r="F19" s="8" t="s">
        <v>3</v>
      </c>
      <c r="G19" s="1"/>
    </row>
    <row r="20" spans="1:7" x14ac:dyDescent="0.45">
      <c r="A20" s="1"/>
      <c r="B20" s="87" t="s">
        <v>20</v>
      </c>
      <c r="C20" s="88"/>
      <c r="D20" s="89"/>
      <c r="E20" s="10">
        <f>SUM(E9:E19)</f>
        <v>12017175.023646833</v>
      </c>
      <c r="F20" s="11" t="s">
        <v>3</v>
      </c>
      <c r="G20" s="1"/>
    </row>
    <row r="21" spans="1:7" x14ac:dyDescent="0.45">
      <c r="A21" s="1"/>
      <c r="B21" s="96" t="s">
        <v>12</v>
      </c>
      <c r="C21" s="97"/>
      <c r="D21" s="97"/>
      <c r="E21" s="48"/>
      <c r="F21" s="23"/>
      <c r="G21" s="1"/>
    </row>
    <row r="22" spans="1:7" x14ac:dyDescent="0.45">
      <c r="A22" s="1"/>
      <c r="B22" s="90" t="s">
        <v>12</v>
      </c>
      <c r="C22" s="91"/>
      <c r="D22" s="92"/>
      <c r="E22" s="10">
        <v>6859994.6452583708</v>
      </c>
      <c r="F22" s="11" t="s">
        <v>3</v>
      </c>
      <c r="G22" s="1"/>
    </row>
    <row r="23" spans="1:7" ht="15" customHeight="1" x14ac:dyDescent="0.45">
      <c r="A23" s="1"/>
      <c r="B23" s="96" t="s">
        <v>99</v>
      </c>
      <c r="C23" s="97"/>
      <c r="D23" s="97"/>
      <c r="E23" s="48"/>
      <c r="F23" s="48"/>
      <c r="G23" s="1"/>
    </row>
    <row r="24" spans="1:7" ht="14.25" customHeight="1" x14ac:dyDescent="0.45">
      <c r="A24" s="1"/>
      <c r="B24" s="81" t="s">
        <v>95</v>
      </c>
      <c r="C24" s="82"/>
      <c r="D24" s="83"/>
      <c r="E24" s="9">
        <v>0</v>
      </c>
      <c r="F24" s="8" t="s">
        <v>3</v>
      </c>
      <c r="G24" s="1"/>
    </row>
    <row r="25" spans="1:7" ht="14.25" customHeight="1" x14ac:dyDescent="0.45">
      <c r="A25" s="1"/>
      <c r="B25" s="81" t="s">
        <v>96</v>
      </c>
      <c r="C25" s="82"/>
      <c r="D25" s="83"/>
      <c r="E25" s="9">
        <v>0</v>
      </c>
      <c r="F25" s="8" t="s">
        <v>3</v>
      </c>
      <c r="G25" s="1"/>
    </row>
    <row r="26" spans="1:7" x14ac:dyDescent="0.4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45">
      <c r="A27" s="1"/>
      <c r="B27" s="47" t="s">
        <v>228</v>
      </c>
      <c r="C27" s="48"/>
      <c r="D27" s="48"/>
      <c r="E27" s="48"/>
      <c r="F27" s="48"/>
      <c r="G27" s="1"/>
    </row>
    <row r="28" spans="1:7" ht="13.15" customHeight="1" x14ac:dyDescent="0.45">
      <c r="A28" s="1"/>
      <c r="B28" s="93" t="s">
        <v>229</v>
      </c>
      <c r="C28" s="94"/>
      <c r="D28" s="95"/>
      <c r="E28" s="10">
        <v>0</v>
      </c>
      <c r="F28" s="11" t="s">
        <v>3</v>
      </c>
      <c r="G28" s="1"/>
    </row>
    <row r="29" spans="1:7" x14ac:dyDescent="0.45">
      <c r="A29" s="1"/>
      <c r="B29" s="47" t="s">
        <v>230</v>
      </c>
      <c r="C29" s="48"/>
      <c r="D29" s="48"/>
      <c r="E29" s="48"/>
      <c r="F29" s="23"/>
      <c r="G29" s="1"/>
    </row>
    <row r="30" spans="1:7" ht="15" customHeight="1" x14ac:dyDescent="0.45">
      <c r="A30" s="1"/>
      <c r="B30" s="93" t="s">
        <v>231</v>
      </c>
      <c r="C30" s="94"/>
      <c r="D30" s="95"/>
      <c r="E30" s="10">
        <v>313649.22186948091</v>
      </c>
      <c r="F30" s="11" t="s">
        <v>3</v>
      </c>
      <c r="G30" s="1"/>
    </row>
    <row r="31" spans="1:7" x14ac:dyDescent="0.45">
      <c r="A31" s="1"/>
      <c r="B31" s="47" t="s">
        <v>232</v>
      </c>
      <c r="C31" s="48"/>
      <c r="D31" s="48"/>
      <c r="E31" s="48"/>
      <c r="F31" s="23"/>
      <c r="G31" s="1"/>
    </row>
    <row r="32" spans="1:7" x14ac:dyDescent="0.45">
      <c r="A32" s="1"/>
      <c r="B32" s="90" t="s">
        <v>233</v>
      </c>
      <c r="C32" s="91"/>
      <c r="D32" s="92"/>
      <c r="E32" s="10">
        <v>0</v>
      </c>
      <c r="F32" s="11" t="s">
        <v>3</v>
      </c>
      <c r="G32" s="1"/>
    </row>
    <row r="33" spans="1:7" x14ac:dyDescent="0.45">
      <c r="A33" s="1"/>
      <c r="B33" s="47" t="s">
        <v>24</v>
      </c>
      <c r="C33" s="48"/>
      <c r="D33" s="48"/>
      <c r="E33" s="12">
        <f>SUM(E30,E26,E28,E22,E20,E32)</f>
        <v>19190818.890774686</v>
      </c>
      <c r="F33" s="13" t="s">
        <v>3</v>
      </c>
      <c r="G33" s="1"/>
    </row>
    <row r="34" spans="1:7" ht="28.15" customHeight="1" x14ac:dyDescent="0.45">
      <c r="A34" s="1"/>
      <c r="B34" s="81" t="s">
        <v>179</v>
      </c>
      <c r="C34" s="82"/>
      <c r="D34" s="82"/>
      <c r="E34" s="82"/>
      <c r="F34" s="83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ht="14.25" customHeight="1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79" t="s">
        <v>138</v>
      </c>
      <c r="C1" s="79"/>
      <c r="D1" s="79"/>
      <c r="E1" s="79"/>
      <c r="F1" s="79"/>
      <c r="G1" s="79"/>
      <c r="H1" s="79"/>
      <c r="I1" s="1"/>
    </row>
    <row r="2" spans="1:9" ht="15" customHeight="1" x14ac:dyDescent="0.45">
      <c r="A2" s="1"/>
      <c r="B2" s="79"/>
      <c r="C2" s="79"/>
      <c r="D2" s="79"/>
      <c r="E2" s="79"/>
      <c r="F2" s="79"/>
      <c r="G2" s="79"/>
      <c r="H2" s="79"/>
      <c r="I2" s="1"/>
    </row>
    <row r="3" spans="1:9" ht="15" customHeight="1" x14ac:dyDescent="0.45">
      <c r="A3" s="1"/>
      <c r="B3" s="79"/>
      <c r="C3" s="79"/>
      <c r="D3" s="79"/>
      <c r="E3" s="79"/>
      <c r="F3" s="79"/>
      <c r="G3" s="79"/>
      <c r="H3" s="79"/>
      <c r="I3" s="1"/>
    </row>
    <row r="4" spans="1:9" x14ac:dyDescent="0.45">
      <c r="A4" s="1"/>
      <c r="B4" s="102" t="s">
        <v>64</v>
      </c>
      <c r="C4" s="103"/>
      <c r="D4" s="103"/>
      <c r="E4" s="103"/>
      <c r="F4" s="103"/>
      <c r="G4" s="103"/>
      <c r="H4" s="104"/>
      <c r="I4" s="1"/>
    </row>
    <row r="5" spans="1:9" x14ac:dyDescent="0.45">
      <c r="A5" s="1"/>
      <c r="B5" s="105" t="s">
        <v>53</v>
      </c>
      <c r="C5" s="106"/>
      <c r="D5" s="106"/>
      <c r="E5" s="106"/>
      <c r="F5" s="107"/>
      <c r="G5" s="27">
        <v>6015408.8933423851</v>
      </c>
      <c r="H5" s="14" t="s">
        <v>3</v>
      </c>
      <c r="I5" s="1"/>
    </row>
    <row r="6" spans="1:9" x14ac:dyDescent="0.45">
      <c r="A6" s="1"/>
      <c r="B6" s="105" t="s">
        <v>54</v>
      </c>
      <c r="C6" s="106"/>
      <c r="D6" s="106"/>
      <c r="E6" s="106"/>
      <c r="F6" s="107"/>
      <c r="G6" s="27">
        <f>G5*'Fane 12. Nøgletal'!C27</f>
        <v>120308.17786684771</v>
      </c>
      <c r="H6" s="14" t="s">
        <v>3</v>
      </c>
      <c r="I6" s="1"/>
    </row>
    <row r="7" spans="1:9" x14ac:dyDescent="0.45">
      <c r="A7" s="1"/>
      <c r="B7" s="47"/>
      <c r="C7" s="48"/>
      <c r="D7" s="48"/>
      <c r="E7" s="48"/>
      <c r="F7" s="48"/>
      <c r="G7" s="48"/>
      <c r="H7" s="23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2" t="s">
        <v>65</v>
      </c>
      <c r="C9" s="103"/>
      <c r="D9" s="103"/>
      <c r="E9" s="103"/>
      <c r="F9" s="103"/>
      <c r="G9" s="103"/>
      <c r="H9" s="104"/>
      <c r="I9" s="1"/>
    </row>
    <row r="10" spans="1:9" x14ac:dyDescent="0.45">
      <c r="A10" s="1"/>
      <c r="B10" s="105" t="s">
        <v>55</v>
      </c>
      <c r="C10" s="106"/>
      <c r="D10" s="106"/>
      <c r="E10" s="106"/>
      <c r="F10" s="107"/>
      <c r="G10" s="27">
        <f>(G5-G6)*(1+'Fane 12. Nøgletal'!C9)</f>
        <v>5969968.4945620764</v>
      </c>
      <c r="H10" s="14" t="s">
        <v>3</v>
      </c>
      <c r="I10" s="1"/>
    </row>
    <row r="11" spans="1:9" x14ac:dyDescent="0.45">
      <c r="A11" s="1"/>
      <c r="B11" s="108" t="s">
        <v>56</v>
      </c>
      <c r="C11" s="109"/>
      <c r="D11" s="109"/>
      <c r="E11" s="109"/>
      <c r="F11" s="110"/>
      <c r="G11" s="27">
        <v>0</v>
      </c>
      <c r="H11" s="14" t="s">
        <v>3</v>
      </c>
      <c r="I11" s="1"/>
    </row>
    <row r="12" spans="1:9" x14ac:dyDescent="0.45">
      <c r="A12" s="1"/>
      <c r="B12" s="105" t="s">
        <v>57</v>
      </c>
      <c r="C12" s="106"/>
      <c r="D12" s="106"/>
      <c r="E12" s="106"/>
      <c r="F12" s="107"/>
      <c r="G12" s="27">
        <f>(G10+G11)*'Fane 12. Nøgletal'!C27</f>
        <v>119399.36989124153</v>
      </c>
      <c r="H12" s="14" t="s">
        <v>3</v>
      </c>
      <c r="I12" s="1"/>
    </row>
    <row r="13" spans="1:9" x14ac:dyDescent="0.45">
      <c r="A13" s="1"/>
      <c r="B13" s="47"/>
      <c r="C13" s="48"/>
      <c r="D13" s="48"/>
      <c r="E13" s="48"/>
      <c r="F13" s="48"/>
      <c r="G13" s="48"/>
      <c r="H13" s="23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02" t="s">
        <v>66</v>
      </c>
      <c r="C15" s="103"/>
      <c r="D15" s="103"/>
      <c r="E15" s="103"/>
      <c r="F15" s="103"/>
      <c r="G15" s="103"/>
      <c r="H15" s="104"/>
      <c r="I15" s="1"/>
    </row>
    <row r="16" spans="1:9" x14ac:dyDescent="0.45">
      <c r="A16" s="1"/>
      <c r="B16" s="105" t="s">
        <v>58</v>
      </c>
      <c r="C16" s="106"/>
      <c r="D16" s="106"/>
      <c r="E16" s="106"/>
      <c r="F16" s="107"/>
      <c r="G16" s="27">
        <f>(G10-G12)*(1+'Fane 12. Nøgletal'!C11)</f>
        <v>5949443.7428777721</v>
      </c>
      <c r="H16" s="14" t="s">
        <v>3</v>
      </c>
      <c r="I16" s="1"/>
    </row>
    <row r="17" spans="1:9" x14ac:dyDescent="0.45">
      <c r="A17" s="1"/>
      <c r="B17" s="105" t="s">
        <v>148</v>
      </c>
      <c r="C17" s="106"/>
      <c r="D17" s="106"/>
      <c r="E17" s="106"/>
      <c r="F17" s="107"/>
      <c r="G17" s="27">
        <v>-197189.91871909791</v>
      </c>
      <c r="H17" s="14" t="s">
        <v>3</v>
      </c>
      <c r="I17" s="1"/>
    </row>
    <row r="18" spans="1:9" x14ac:dyDescent="0.45">
      <c r="A18" s="1"/>
      <c r="B18" s="108" t="s">
        <v>59</v>
      </c>
      <c r="C18" s="109"/>
      <c r="D18" s="109"/>
      <c r="E18" s="109"/>
      <c r="F18" s="110"/>
      <c r="G18" s="27">
        <v>0</v>
      </c>
      <c r="H18" s="14" t="s">
        <v>3</v>
      </c>
      <c r="I18" s="1"/>
    </row>
    <row r="19" spans="1:9" x14ac:dyDescent="0.45">
      <c r="A19" s="1"/>
      <c r="B19" s="105" t="s">
        <v>60</v>
      </c>
      <c r="C19" s="106"/>
      <c r="D19" s="106"/>
      <c r="E19" s="106"/>
      <c r="F19" s="107"/>
      <c r="G19" s="27">
        <f>SUM(G16:G18)*'Fane 12. Nøgletal'!C27</f>
        <v>115045.07648317349</v>
      </c>
      <c r="H19" s="14" t="s">
        <v>3</v>
      </c>
      <c r="I19" s="1"/>
    </row>
    <row r="20" spans="1:9" x14ac:dyDescent="0.45">
      <c r="A20" s="1"/>
      <c r="B20" s="47"/>
      <c r="C20" s="48"/>
      <c r="D20" s="48"/>
      <c r="E20" s="48"/>
      <c r="F20" s="48"/>
      <c r="G20" s="48"/>
      <c r="H20" s="23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2" t="s">
        <v>67</v>
      </c>
      <c r="C22" s="103"/>
      <c r="D22" s="103"/>
      <c r="E22" s="103"/>
      <c r="F22" s="103"/>
      <c r="G22" s="103"/>
      <c r="H22" s="104"/>
      <c r="I22" s="1"/>
    </row>
    <row r="23" spans="1:9" x14ac:dyDescent="0.45">
      <c r="A23" s="1"/>
      <c r="B23" s="105" t="s">
        <v>61</v>
      </c>
      <c r="C23" s="106"/>
      <c r="D23" s="106"/>
      <c r="E23" s="106"/>
      <c r="F23" s="107"/>
      <c r="G23" s="27">
        <f>(SUM(G16:G18)-G19)*(1+'Fane 12. Nøgletal'!C11)</f>
        <v>5732477.5755112162</v>
      </c>
      <c r="H23" s="14" t="s">
        <v>3</v>
      </c>
      <c r="I23" s="1"/>
    </row>
    <row r="24" spans="1:9" x14ac:dyDescent="0.45">
      <c r="A24" s="1"/>
      <c r="B24" s="108" t="s">
        <v>62</v>
      </c>
      <c r="C24" s="109"/>
      <c r="D24" s="109"/>
      <c r="E24" s="109"/>
      <c r="F24" s="110"/>
      <c r="G24" s="27">
        <v>0</v>
      </c>
      <c r="H24" s="14" t="s">
        <v>3</v>
      </c>
      <c r="I24" s="1"/>
    </row>
    <row r="25" spans="1:9" x14ac:dyDescent="0.45">
      <c r="A25" s="1"/>
      <c r="B25" s="105" t="s">
        <v>63</v>
      </c>
      <c r="C25" s="106"/>
      <c r="D25" s="106"/>
      <c r="E25" s="106"/>
      <c r="F25" s="107"/>
      <c r="G25" s="27">
        <f>(G23+G24)*'Fane 12. Nøgletal'!C27</f>
        <v>114649.55151022432</v>
      </c>
      <c r="H25" s="14" t="s">
        <v>3</v>
      </c>
      <c r="I25" s="1"/>
    </row>
    <row r="26" spans="1:9" x14ac:dyDescent="0.45">
      <c r="A26" s="1"/>
      <c r="B26" s="47"/>
      <c r="C26" s="48"/>
      <c r="D26" s="48"/>
      <c r="E26" s="48"/>
      <c r="F26" s="48"/>
      <c r="G26" s="48"/>
      <c r="H26" s="23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2" t="s">
        <v>222</v>
      </c>
      <c r="C28" s="103"/>
      <c r="D28" s="103"/>
      <c r="E28" s="103"/>
      <c r="F28" s="103"/>
      <c r="G28" s="103"/>
      <c r="H28" s="104"/>
      <c r="I28" s="1"/>
    </row>
    <row r="29" spans="1:9" x14ac:dyDescent="0.45">
      <c r="A29" s="1"/>
      <c r="B29" s="105" t="s">
        <v>70</v>
      </c>
      <c r="C29" s="106"/>
      <c r="D29" s="106"/>
      <c r="E29" s="106"/>
      <c r="F29" s="107"/>
      <c r="G29" s="27">
        <f>(G23+G24-G25)*(1+'Fane 12. Nøgletal'!C13)</f>
        <v>5686365.5258938037</v>
      </c>
      <c r="H29" s="14" t="s">
        <v>3</v>
      </c>
      <c r="I29" s="1"/>
    </row>
    <row r="30" spans="1:9" x14ac:dyDescent="0.45">
      <c r="A30" s="1"/>
      <c r="B30" s="105" t="s">
        <v>187</v>
      </c>
      <c r="C30" s="106"/>
      <c r="D30" s="106"/>
      <c r="E30" s="106"/>
      <c r="F30" s="107"/>
      <c r="G30" s="27">
        <f>SUM('Fane 2.1. Økonomisk ramme 2021'!C10,'Fane 2.1. Økonomisk ramme 2021'!C12,'Fane 2.1. Økonomisk ramme 2021'!C14)*(1+'Fane 12. Nøgletal'!C13)</f>
        <v>711054.31229028001</v>
      </c>
      <c r="H30" s="14" t="s">
        <v>3</v>
      </c>
      <c r="I30" s="1"/>
    </row>
    <row r="31" spans="1:9" x14ac:dyDescent="0.45">
      <c r="A31" s="1"/>
      <c r="B31" s="105" t="s">
        <v>199</v>
      </c>
      <c r="C31" s="106"/>
      <c r="D31" s="106"/>
      <c r="E31" s="106"/>
      <c r="F31" s="107"/>
      <c r="G31" s="27">
        <f>(G29+G30)*'Fane 12. Nøgletal'!C27</f>
        <v>127948.39676368168</v>
      </c>
      <c r="H31" s="14" t="s">
        <v>3</v>
      </c>
      <c r="I31" s="1"/>
    </row>
    <row r="32" spans="1:9" x14ac:dyDescent="0.45">
      <c r="A32" s="1"/>
      <c r="B32" s="47"/>
      <c r="C32" s="48"/>
      <c r="D32" s="48"/>
      <c r="E32" s="48"/>
      <c r="F32" s="48"/>
      <c r="G32" s="48"/>
      <c r="H32" s="23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2" t="s">
        <v>223</v>
      </c>
      <c r="C34" s="103"/>
      <c r="D34" s="103"/>
      <c r="E34" s="103"/>
      <c r="F34" s="103"/>
      <c r="G34" s="103"/>
      <c r="H34" s="104"/>
      <c r="I34" s="1"/>
    </row>
    <row r="35" spans="1:9" x14ac:dyDescent="0.45">
      <c r="A35" s="1"/>
      <c r="B35" s="105" t="s">
        <v>90</v>
      </c>
      <c r="C35" s="106"/>
      <c r="D35" s="106"/>
      <c r="E35" s="106"/>
      <c r="F35" s="107"/>
      <c r="G35" s="27">
        <f>(G29+G30-G31)*(1+'Fane 12. Nøgletal'!C13)</f>
        <v>6345958.9930057311</v>
      </c>
      <c r="H35" s="14" t="s">
        <v>3</v>
      </c>
      <c r="I35" s="1"/>
    </row>
    <row r="36" spans="1:9" x14ac:dyDescent="0.45">
      <c r="A36" s="1"/>
      <c r="B36" s="105" t="s">
        <v>102</v>
      </c>
      <c r="C36" s="106"/>
      <c r="D36" s="106"/>
      <c r="E36" s="106"/>
      <c r="F36" s="107"/>
      <c r="G36" s="27">
        <f>-'Fane 11. Bortfald'!C19*(1+'Fane 12. Nøgletal'!C13)</f>
        <v>0</v>
      </c>
      <c r="H36" s="14" t="s">
        <v>3</v>
      </c>
      <c r="I36" s="1"/>
    </row>
    <row r="37" spans="1:9" x14ac:dyDescent="0.45">
      <c r="A37" s="1"/>
      <c r="B37" s="105" t="s">
        <v>224</v>
      </c>
      <c r="C37" s="106"/>
      <c r="D37" s="106"/>
      <c r="E37" s="106"/>
      <c r="F37" s="107"/>
      <c r="G37" s="27">
        <f>(G35+G36)*'Fane 12. Nøgletal'!C27</f>
        <v>126919.17986011463</v>
      </c>
      <c r="H37" s="14" t="s">
        <v>3</v>
      </c>
      <c r="I37" s="1"/>
    </row>
    <row r="38" spans="1:9" x14ac:dyDescent="0.45">
      <c r="A38" s="1"/>
      <c r="B38" s="47"/>
      <c r="C38" s="48"/>
      <c r="D38" s="48"/>
      <c r="E38" s="48"/>
      <c r="F38" s="48"/>
      <c r="G38" s="48"/>
      <c r="H38" s="23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2" t="s">
        <v>91</v>
      </c>
      <c r="C40" s="103"/>
      <c r="D40" s="103"/>
      <c r="E40" s="103"/>
      <c r="F40" s="103"/>
      <c r="G40" s="103"/>
      <c r="H40" s="104"/>
      <c r="I40" s="1"/>
    </row>
    <row r="41" spans="1:9" x14ac:dyDescent="0.45">
      <c r="A41" s="1"/>
      <c r="B41" s="105" t="s">
        <v>89</v>
      </c>
      <c r="C41" s="106"/>
      <c r="D41" s="106"/>
      <c r="E41" s="106"/>
      <c r="F41" s="107"/>
      <c r="G41" s="27">
        <f>(G35+G36-G37)*(1+'Fane 12. Nøgletal'!C13)</f>
        <v>6294912.0988659924</v>
      </c>
      <c r="H41" s="14" t="s">
        <v>3</v>
      </c>
      <c r="I41" s="1"/>
    </row>
    <row r="42" spans="1:9" x14ac:dyDescent="0.45">
      <c r="A42" s="1"/>
      <c r="B42" s="105" t="s">
        <v>103</v>
      </c>
      <c r="C42" s="106"/>
      <c r="D42" s="106"/>
      <c r="E42" s="106"/>
      <c r="F42" s="107"/>
      <c r="G42" s="27">
        <f>-'Fane 11. Bortfald'!C26*(1+'Fane 12. Nøgletal'!C13)</f>
        <v>0</v>
      </c>
      <c r="H42" s="14" t="s">
        <v>3</v>
      </c>
      <c r="I42" s="1"/>
    </row>
    <row r="43" spans="1:9" x14ac:dyDescent="0.45">
      <c r="A43" s="1"/>
      <c r="B43" s="105" t="s">
        <v>71</v>
      </c>
      <c r="C43" s="106"/>
      <c r="D43" s="106"/>
      <c r="E43" s="106"/>
      <c r="F43" s="107"/>
      <c r="G43" s="27">
        <f>(G41+G42)*'Fane 12. Nøgletal'!C27</f>
        <v>125898.24197731985</v>
      </c>
      <c r="H43" s="14" t="s">
        <v>3</v>
      </c>
      <c r="I43" s="1"/>
    </row>
    <row r="44" spans="1:9" x14ac:dyDescent="0.45">
      <c r="A44" s="1"/>
      <c r="B44" s="47"/>
      <c r="C44" s="48"/>
      <c r="D44" s="48"/>
      <c r="E44" s="48"/>
      <c r="F44" s="48"/>
      <c r="G44" s="48"/>
      <c r="H44" s="23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02" t="s">
        <v>188</v>
      </c>
      <c r="C46" s="103"/>
      <c r="D46" s="103"/>
      <c r="E46" s="103"/>
      <c r="F46" s="103"/>
      <c r="G46" s="103"/>
      <c r="H46" s="104"/>
      <c r="I46" s="1"/>
    </row>
    <row r="47" spans="1:9" x14ac:dyDescent="0.45">
      <c r="A47" s="1"/>
      <c r="B47" s="105" t="s">
        <v>189</v>
      </c>
      <c r="C47" s="106"/>
      <c r="D47" s="106"/>
      <c r="E47" s="106"/>
      <c r="F47" s="107"/>
      <c r="G47" s="27">
        <f>(G41+G42-G43)*(1+'Fane 12. Nøgletal'!C13)</f>
        <v>6244275.8259427138</v>
      </c>
      <c r="H47" s="14" t="s">
        <v>3</v>
      </c>
      <c r="I47" s="1"/>
    </row>
    <row r="48" spans="1:9" x14ac:dyDescent="0.45">
      <c r="A48" s="1"/>
      <c r="B48" s="105" t="s">
        <v>190</v>
      </c>
      <c r="C48" s="106"/>
      <c r="D48" s="106"/>
      <c r="E48" s="106"/>
      <c r="F48" s="107"/>
      <c r="G48" s="27">
        <f>-'Fane 11. Bortfald'!C33*(1+'Fane 12. Nøgletal'!C13)</f>
        <v>0</v>
      </c>
      <c r="H48" s="14" t="s">
        <v>3</v>
      </c>
      <c r="I48" s="1"/>
    </row>
    <row r="49" spans="1:9" x14ac:dyDescent="0.45">
      <c r="A49" s="1"/>
      <c r="B49" s="105" t="s">
        <v>191</v>
      </c>
      <c r="C49" s="106"/>
      <c r="D49" s="106"/>
      <c r="E49" s="106"/>
      <c r="F49" s="107"/>
      <c r="G49" s="27">
        <f>(G47+G48)*'Fane 12. Nøgletal'!C27</f>
        <v>124885.51651885427</v>
      </c>
      <c r="H49" s="14" t="s">
        <v>3</v>
      </c>
      <c r="I49" s="1"/>
    </row>
    <row r="50" spans="1:9" x14ac:dyDescent="0.45">
      <c r="A50" s="1"/>
      <c r="B50" s="47"/>
      <c r="C50" s="48"/>
      <c r="D50" s="48"/>
      <c r="E50" s="48"/>
      <c r="F50" s="48"/>
      <c r="G50" s="48"/>
      <c r="H50" s="23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65">
      <c r="A2" s="1"/>
      <c r="B2" s="111" t="s">
        <v>139</v>
      </c>
      <c r="C2" s="111"/>
      <c r="D2" s="111"/>
      <c r="E2" s="111"/>
      <c r="F2" s="111"/>
      <c r="G2" s="111"/>
      <c r="H2" s="111"/>
      <c r="I2" s="1"/>
    </row>
    <row r="3" spans="1:9" ht="15" customHeight="1" x14ac:dyDescent="0.55000000000000004">
      <c r="A3" s="1"/>
      <c r="B3" s="33"/>
      <c r="C3" s="33"/>
      <c r="D3" s="33"/>
      <c r="E3" s="33"/>
      <c r="F3" s="33"/>
      <c r="G3" s="33"/>
      <c r="H3" s="33"/>
      <c r="I3" s="1"/>
    </row>
    <row r="4" spans="1:9" x14ac:dyDescent="0.45">
      <c r="A4" s="1"/>
      <c r="B4" s="102" t="s">
        <v>68</v>
      </c>
      <c r="C4" s="103"/>
      <c r="D4" s="103"/>
      <c r="E4" s="103"/>
      <c r="F4" s="103"/>
      <c r="G4" s="103"/>
      <c r="H4" s="104"/>
      <c r="I4" s="1"/>
    </row>
    <row r="5" spans="1:9" x14ac:dyDescent="0.45">
      <c r="A5" s="1"/>
      <c r="B5" s="105" t="s">
        <v>72</v>
      </c>
      <c r="C5" s="106"/>
      <c r="D5" s="106"/>
      <c r="E5" s="106"/>
      <c r="F5" s="107"/>
      <c r="G5" s="27">
        <v>6326609.3285152912</v>
      </c>
      <c r="H5" s="14" t="s">
        <v>3</v>
      </c>
      <c r="I5" s="1"/>
    </row>
    <row r="6" spans="1:9" x14ac:dyDescent="0.45">
      <c r="A6" s="1"/>
      <c r="B6" s="105" t="s">
        <v>69</v>
      </c>
      <c r="C6" s="106"/>
      <c r="D6" s="106"/>
      <c r="E6" s="106"/>
      <c r="F6" s="107"/>
      <c r="G6" s="27">
        <f>G5*'Fane 12. Nøgletal'!C18</f>
        <v>57572.144889489151</v>
      </c>
      <c r="H6" s="14" t="s">
        <v>3</v>
      </c>
      <c r="I6" s="1"/>
    </row>
    <row r="7" spans="1:9" x14ac:dyDescent="0.45">
      <c r="A7" s="1"/>
      <c r="B7" s="47"/>
      <c r="C7" s="48"/>
      <c r="D7" s="48"/>
      <c r="E7" s="48"/>
      <c r="F7" s="48"/>
      <c r="G7" s="48"/>
      <c r="H7" s="23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02" t="s">
        <v>73</v>
      </c>
      <c r="C9" s="103"/>
      <c r="D9" s="103"/>
      <c r="E9" s="103"/>
      <c r="F9" s="103"/>
      <c r="G9" s="103"/>
      <c r="H9" s="104"/>
      <c r="I9" s="1"/>
    </row>
    <row r="10" spans="1:9" x14ac:dyDescent="0.45">
      <c r="A10" s="1"/>
      <c r="B10" s="105" t="s">
        <v>74</v>
      </c>
      <c r="C10" s="106"/>
      <c r="D10" s="106"/>
      <c r="E10" s="106"/>
      <c r="F10" s="107"/>
      <c r="G10" s="27">
        <f>(G5-G6)*(1+'Fane 12. Nøgletal'!C9)</f>
        <v>6348653.9558578497</v>
      </c>
      <c r="H10" s="14" t="s">
        <v>3</v>
      </c>
      <c r="I10" s="1"/>
    </row>
    <row r="11" spans="1:9" x14ac:dyDescent="0.45">
      <c r="A11" s="1"/>
      <c r="B11" s="108" t="s">
        <v>75</v>
      </c>
      <c r="C11" s="109"/>
      <c r="D11" s="109"/>
      <c r="E11" s="109"/>
      <c r="F11" s="110"/>
      <c r="G11" s="27">
        <v>0</v>
      </c>
      <c r="H11" s="14" t="s">
        <v>3</v>
      </c>
      <c r="I11" s="1"/>
    </row>
    <row r="12" spans="1:9" x14ac:dyDescent="0.45">
      <c r="A12" s="1"/>
      <c r="B12" s="105" t="s">
        <v>76</v>
      </c>
      <c r="C12" s="106"/>
      <c r="D12" s="106"/>
      <c r="E12" s="106"/>
      <c r="F12" s="107"/>
      <c r="G12" s="27">
        <f>G10*'Fane 12. Nøgletal'!C18+G11*'Fane 12. Nøgletal'!C19</f>
        <v>57772.750998306437</v>
      </c>
      <c r="H12" s="14" t="s">
        <v>3</v>
      </c>
      <c r="I12" s="1"/>
    </row>
    <row r="13" spans="1:9" x14ac:dyDescent="0.45">
      <c r="A13" s="1"/>
      <c r="B13" s="47"/>
      <c r="C13" s="48"/>
      <c r="D13" s="48"/>
      <c r="E13" s="48"/>
      <c r="F13" s="48"/>
      <c r="G13" s="48"/>
      <c r="H13" s="23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02" t="s">
        <v>77</v>
      </c>
      <c r="C15" s="103"/>
      <c r="D15" s="103"/>
      <c r="E15" s="103"/>
      <c r="F15" s="103"/>
      <c r="G15" s="103"/>
      <c r="H15" s="104"/>
      <c r="I15" s="1"/>
    </row>
    <row r="16" spans="1:9" x14ac:dyDescent="0.45">
      <c r="A16" s="1"/>
      <c r="B16" s="105" t="s">
        <v>78</v>
      </c>
      <c r="C16" s="106"/>
      <c r="D16" s="106"/>
      <c r="E16" s="106"/>
      <c r="F16" s="107"/>
      <c r="G16" s="27">
        <f>(G10+G11-G12)*(1+'Fane 12. Nøgletal'!C11)</f>
        <v>6397197.0972216697</v>
      </c>
      <c r="H16" s="14" t="s">
        <v>3</v>
      </c>
      <c r="I16" s="1"/>
    </row>
    <row r="17" spans="1:9" x14ac:dyDescent="0.45">
      <c r="A17" s="1"/>
      <c r="B17" s="105" t="s">
        <v>149</v>
      </c>
      <c r="C17" s="106"/>
      <c r="D17" s="106"/>
      <c r="E17" s="106"/>
      <c r="F17" s="107"/>
      <c r="G17" s="27">
        <v>23994.741571507882</v>
      </c>
      <c r="H17" s="14" t="s">
        <v>3</v>
      </c>
      <c r="I17" s="1"/>
    </row>
    <row r="18" spans="1:9" x14ac:dyDescent="0.45">
      <c r="A18" s="1"/>
      <c r="B18" s="108" t="s">
        <v>79</v>
      </c>
      <c r="C18" s="109"/>
      <c r="D18" s="109"/>
      <c r="E18" s="109"/>
      <c r="F18" s="110"/>
      <c r="G18" s="27">
        <v>138364.79096043998</v>
      </c>
      <c r="H18" s="14" t="s">
        <v>3</v>
      </c>
      <c r="I18" s="1"/>
    </row>
    <row r="19" spans="1:9" x14ac:dyDescent="0.45">
      <c r="A19" s="1"/>
      <c r="B19" s="105" t="s">
        <v>80</v>
      </c>
      <c r="C19" s="106"/>
      <c r="D19" s="106"/>
      <c r="E19" s="106"/>
      <c r="F19" s="107"/>
      <c r="G19" s="27">
        <f>SUM(G16:G18)*'Fane 12. Nøgletal'!C20</f>
        <v>57068.142678856471</v>
      </c>
      <c r="H19" s="14" t="s">
        <v>3</v>
      </c>
      <c r="I19" s="1"/>
    </row>
    <row r="20" spans="1:9" x14ac:dyDescent="0.45">
      <c r="A20" s="1"/>
      <c r="B20" s="47"/>
      <c r="C20" s="48"/>
      <c r="D20" s="48"/>
      <c r="E20" s="48"/>
      <c r="F20" s="48"/>
      <c r="G20" s="48"/>
      <c r="H20" s="23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02" t="s">
        <v>81</v>
      </c>
      <c r="C22" s="103"/>
      <c r="D22" s="103"/>
      <c r="E22" s="103"/>
      <c r="F22" s="103"/>
      <c r="G22" s="103"/>
      <c r="H22" s="104"/>
      <c r="I22" s="1"/>
    </row>
    <row r="23" spans="1:9" x14ac:dyDescent="0.45">
      <c r="A23" s="1"/>
      <c r="B23" s="105" t="s">
        <v>82</v>
      </c>
      <c r="C23" s="106"/>
      <c r="D23" s="106"/>
      <c r="E23" s="106"/>
      <c r="F23" s="107"/>
      <c r="G23" s="27">
        <f>(SUM(G16:G18)-G19)*(1+'Fane 12. Nøgletal'!C11)</f>
        <v>6612380.5425063232</v>
      </c>
      <c r="H23" s="14" t="s">
        <v>3</v>
      </c>
      <c r="I23" s="1"/>
    </row>
    <row r="24" spans="1:9" x14ac:dyDescent="0.45">
      <c r="A24" s="1"/>
      <c r="B24" s="108" t="s">
        <v>83</v>
      </c>
      <c r="C24" s="109"/>
      <c r="D24" s="109"/>
      <c r="E24" s="109"/>
      <c r="F24" s="110"/>
      <c r="G24" s="27">
        <v>122892.45037829102</v>
      </c>
      <c r="H24" s="14" t="s">
        <v>3</v>
      </c>
      <c r="I24" s="1"/>
    </row>
    <row r="25" spans="1:9" x14ac:dyDescent="0.45">
      <c r="A25" s="1"/>
      <c r="B25" s="105" t="s">
        <v>84</v>
      </c>
      <c r="C25" s="106"/>
      <c r="D25" s="106"/>
      <c r="E25" s="106"/>
      <c r="F25" s="107"/>
      <c r="G25" s="27">
        <f>G23*'Fane 12. Nøgletal'!C20+G24*'Fane 12. Nøgletal'!C21</f>
        <v>61017.856310548472</v>
      </c>
      <c r="H25" s="14" t="s">
        <v>3</v>
      </c>
      <c r="I25" s="1"/>
    </row>
    <row r="26" spans="1:9" x14ac:dyDescent="0.45">
      <c r="A26" s="1"/>
      <c r="B26" s="47"/>
      <c r="C26" s="48"/>
      <c r="D26" s="48"/>
      <c r="E26" s="48"/>
      <c r="F26" s="48"/>
      <c r="G26" s="48"/>
      <c r="H26" s="23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02" t="s">
        <v>220</v>
      </c>
      <c r="C28" s="103"/>
      <c r="D28" s="103"/>
      <c r="E28" s="103"/>
      <c r="F28" s="103"/>
      <c r="G28" s="103"/>
      <c r="H28" s="104"/>
      <c r="I28" s="1"/>
    </row>
    <row r="29" spans="1:9" x14ac:dyDescent="0.45">
      <c r="A29" s="1"/>
      <c r="B29" s="105" t="s">
        <v>85</v>
      </c>
      <c r="C29" s="106"/>
      <c r="D29" s="106"/>
      <c r="E29" s="106"/>
      <c r="F29" s="107"/>
      <c r="G29" s="27">
        <f>(G23+G24-G25)*(1+'Fane 12. Nøgletal'!C13)</f>
        <v>6755681.0492402697</v>
      </c>
      <c r="H29" s="14" t="s">
        <v>3</v>
      </c>
      <c r="I29" s="1"/>
    </row>
    <row r="30" spans="1:9" x14ac:dyDescent="0.45">
      <c r="A30" s="1"/>
      <c r="B30" s="105" t="s">
        <v>192</v>
      </c>
      <c r="C30" s="106"/>
      <c r="D30" s="106"/>
      <c r="E30" s="106"/>
      <c r="F30" s="107"/>
      <c r="G30" s="27">
        <f>SUM('Fane 2.1. Økonomisk ramme 2021'!C11,'Fane 2.1. Økonomisk ramme 2021'!C13,'Fane 2.1. Økonomisk ramme 2021'!C15)*(1+'Fane 12. Nøgletal'!C13)</f>
        <v>285076.51407975605</v>
      </c>
      <c r="H30" s="14" t="s">
        <v>3</v>
      </c>
      <c r="I30" s="1"/>
    </row>
    <row r="31" spans="1:9" x14ac:dyDescent="0.45">
      <c r="A31" s="1"/>
      <c r="B31" s="105" t="s">
        <v>221</v>
      </c>
      <c r="C31" s="106"/>
      <c r="D31" s="106"/>
      <c r="E31" s="106"/>
      <c r="F31" s="107"/>
      <c r="G31" s="27">
        <f>(G29+G30)*'Fane 12. Nøgletal'!C22</f>
        <v>193620.8329913007</v>
      </c>
      <c r="H31" s="14" t="s">
        <v>3</v>
      </c>
      <c r="I31" s="1"/>
    </row>
    <row r="32" spans="1:9" x14ac:dyDescent="0.45">
      <c r="A32" s="1"/>
      <c r="B32" s="47"/>
      <c r="C32" s="48"/>
      <c r="D32" s="48"/>
      <c r="E32" s="48"/>
      <c r="F32" s="48"/>
      <c r="G32" s="48"/>
      <c r="H32" s="23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02" t="s">
        <v>225</v>
      </c>
      <c r="C34" s="103"/>
      <c r="D34" s="103"/>
      <c r="E34" s="103"/>
      <c r="F34" s="103"/>
      <c r="G34" s="103"/>
      <c r="H34" s="104"/>
      <c r="I34" s="1"/>
    </row>
    <row r="35" spans="1:9" x14ac:dyDescent="0.45">
      <c r="A35" s="1"/>
      <c r="B35" s="105" t="s">
        <v>88</v>
      </c>
      <c r="C35" s="106"/>
      <c r="D35" s="106"/>
      <c r="E35" s="106"/>
      <c r="F35" s="107"/>
      <c r="G35" s="27">
        <f>(G29+G30-G31)*(1+'Fane 12. Nøgletal'!C13)</f>
        <v>6930671.7984387353</v>
      </c>
      <c r="H35" s="14" t="s">
        <v>3</v>
      </c>
      <c r="I35" s="1"/>
    </row>
    <row r="36" spans="1:9" x14ac:dyDescent="0.45">
      <c r="A36" s="1"/>
      <c r="B36" s="105" t="s">
        <v>107</v>
      </c>
      <c r="C36" s="106"/>
      <c r="D36" s="106"/>
      <c r="E36" s="106"/>
      <c r="F36" s="107"/>
      <c r="G36" s="27">
        <f>-'Fane 11. Bortfald'!E19*(1+'Fane 12. Nøgletal'!C13)</f>
        <v>0</v>
      </c>
      <c r="H36" s="14" t="s">
        <v>3</v>
      </c>
      <c r="I36" s="1"/>
    </row>
    <row r="37" spans="1:9" x14ac:dyDescent="0.45">
      <c r="A37" s="1"/>
      <c r="B37" s="105" t="s">
        <v>226</v>
      </c>
      <c r="C37" s="106"/>
      <c r="D37" s="106"/>
      <c r="E37" s="106"/>
      <c r="F37" s="107"/>
      <c r="G37" s="27">
        <f>(G35+G36)*'Fane 12. Nøgletal'!C22</f>
        <v>190593.47445706523</v>
      </c>
      <c r="H37" s="14" t="s">
        <v>3</v>
      </c>
      <c r="I37" s="1"/>
    </row>
    <row r="38" spans="1:9" x14ac:dyDescent="0.45">
      <c r="A38" s="1"/>
      <c r="B38" s="47"/>
      <c r="C38" s="48"/>
      <c r="D38" s="48"/>
      <c r="E38" s="48"/>
      <c r="F38" s="48"/>
      <c r="G38" s="48"/>
      <c r="H38" s="23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02" t="s">
        <v>92</v>
      </c>
      <c r="C40" s="103"/>
      <c r="D40" s="103"/>
      <c r="E40" s="103"/>
      <c r="F40" s="103"/>
      <c r="G40" s="103"/>
      <c r="H40" s="104"/>
      <c r="I40" s="1"/>
    </row>
    <row r="41" spans="1:9" x14ac:dyDescent="0.45">
      <c r="A41" s="1"/>
      <c r="B41" s="105" t="s">
        <v>87</v>
      </c>
      <c r="C41" s="106"/>
      <c r="D41" s="106"/>
      <c r="E41" s="106"/>
      <c r="F41" s="107"/>
      <c r="G41" s="27">
        <f>(G35+G36-G37)*(1+'Fane 12. Nøgletal'!C13)</f>
        <v>6822307.2795342458</v>
      </c>
      <c r="H41" s="14" t="s">
        <v>3</v>
      </c>
      <c r="I41" s="1"/>
    </row>
    <row r="42" spans="1:9" x14ac:dyDescent="0.45">
      <c r="A42" s="1"/>
      <c r="B42" s="105" t="s">
        <v>108</v>
      </c>
      <c r="C42" s="106"/>
      <c r="D42" s="106"/>
      <c r="E42" s="106"/>
      <c r="F42" s="107"/>
      <c r="G42" s="27">
        <f>-'Fane 11. Bortfald'!E26*(1+'Fane 12. Nøgletal'!C13)</f>
        <v>0</v>
      </c>
      <c r="H42" s="14" t="s">
        <v>3</v>
      </c>
      <c r="I42" s="1"/>
    </row>
    <row r="43" spans="1:9" x14ac:dyDescent="0.45">
      <c r="A43" s="1"/>
      <c r="B43" s="105" t="s">
        <v>86</v>
      </c>
      <c r="C43" s="106"/>
      <c r="D43" s="106"/>
      <c r="E43" s="106"/>
      <c r="F43" s="107"/>
      <c r="G43" s="27">
        <f>(G41+G42)*'Fane 12. Nøgletal'!C22</f>
        <v>187613.45018719177</v>
      </c>
      <c r="H43" s="14" t="s">
        <v>3</v>
      </c>
      <c r="I43" s="1"/>
    </row>
    <row r="44" spans="1:9" x14ac:dyDescent="0.45">
      <c r="A44" s="1"/>
      <c r="B44" s="47"/>
      <c r="C44" s="48"/>
      <c r="D44" s="48"/>
      <c r="E44" s="48"/>
      <c r="F44" s="48"/>
      <c r="G44" s="48"/>
      <c r="H44" s="23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02" t="s">
        <v>193</v>
      </c>
      <c r="C46" s="103"/>
      <c r="D46" s="103"/>
      <c r="E46" s="103"/>
      <c r="F46" s="103"/>
      <c r="G46" s="103"/>
      <c r="H46" s="104"/>
      <c r="I46" s="1"/>
    </row>
    <row r="47" spans="1:9" x14ac:dyDescent="0.45">
      <c r="A47" s="1"/>
      <c r="B47" s="105" t="s">
        <v>194</v>
      </c>
      <c r="C47" s="106"/>
      <c r="D47" s="106"/>
      <c r="E47" s="106"/>
      <c r="F47" s="107"/>
      <c r="G47" s="27">
        <f>(G41+G42-G43)*(1+'Fane 12. Nøgletal'!C13)</f>
        <v>6715637.0940650888</v>
      </c>
      <c r="H47" s="14" t="s">
        <v>3</v>
      </c>
      <c r="I47" s="1"/>
    </row>
    <row r="48" spans="1:9" x14ac:dyDescent="0.45">
      <c r="A48" s="1"/>
      <c r="B48" s="105" t="s">
        <v>195</v>
      </c>
      <c r="C48" s="106"/>
      <c r="D48" s="106"/>
      <c r="E48" s="106"/>
      <c r="F48" s="107"/>
      <c r="G48" s="27">
        <f>-'Fane 11. Bortfald'!E33*(1+'Fane 12. Nøgletal'!C13)</f>
        <v>0</v>
      </c>
      <c r="H48" s="14" t="s">
        <v>3</v>
      </c>
      <c r="I48" s="1"/>
    </row>
    <row r="49" spans="1:9" x14ac:dyDescent="0.45">
      <c r="A49" s="1"/>
      <c r="B49" s="105" t="s">
        <v>196</v>
      </c>
      <c r="C49" s="106"/>
      <c r="D49" s="106"/>
      <c r="E49" s="106"/>
      <c r="F49" s="107"/>
      <c r="G49" s="27">
        <f>(G47+G48)*'Fane 12. Nøgletal'!C22</f>
        <v>184680.02008678994</v>
      </c>
      <c r="H49" s="14" t="s">
        <v>3</v>
      </c>
      <c r="I49" s="1"/>
    </row>
    <row r="50" spans="1:9" x14ac:dyDescent="0.45">
      <c r="A50" s="1"/>
      <c r="B50" s="47"/>
      <c r="C50" s="48"/>
      <c r="D50" s="48"/>
      <c r="E50" s="48"/>
      <c r="F50" s="48"/>
      <c r="G50" s="48"/>
      <c r="H50" s="23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9" t="s">
        <v>101</v>
      </c>
      <c r="C3" s="79"/>
      <c r="D3" s="79"/>
      <c r="E3" s="79"/>
      <c r="F3" s="79"/>
      <c r="G3" s="79"/>
      <c r="H3" s="79"/>
      <c r="I3" s="1"/>
    </row>
    <row r="4" spans="1:9" ht="15" customHeight="1" x14ac:dyDescent="0.45">
      <c r="A4" s="1"/>
      <c r="B4" s="79"/>
      <c r="C4" s="79"/>
      <c r="D4" s="79"/>
      <c r="E4" s="79"/>
      <c r="F4" s="79"/>
      <c r="G4" s="79"/>
      <c r="H4" s="7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02" t="s">
        <v>9</v>
      </c>
      <c r="C8" s="103"/>
      <c r="D8" s="103"/>
      <c r="E8" s="103"/>
      <c r="F8" s="103"/>
      <c r="G8" s="103"/>
      <c r="H8" s="104"/>
      <c r="I8" s="1"/>
    </row>
    <row r="9" spans="1:9" x14ac:dyDescent="0.45">
      <c r="A9" s="1"/>
      <c r="B9" s="105" t="s">
        <v>124</v>
      </c>
      <c r="C9" s="106"/>
      <c r="D9" s="106"/>
      <c r="E9" s="106"/>
      <c r="F9" s="107"/>
      <c r="G9" s="26">
        <v>7.0488919982738098E-3</v>
      </c>
      <c r="H9" s="14"/>
      <c r="I9" s="1"/>
    </row>
    <row r="10" spans="1:9" x14ac:dyDescent="0.45">
      <c r="A10" s="1"/>
      <c r="B10" s="105" t="s">
        <v>181</v>
      </c>
      <c r="C10" s="106"/>
      <c r="D10" s="106"/>
      <c r="E10" s="106"/>
      <c r="F10" s="107"/>
      <c r="G10" s="26">
        <v>1.0968366368444999E-2</v>
      </c>
      <c r="H10" s="14"/>
      <c r="I10" s="1"/>
    </row>
    <row r="11" spans="1:9" x14ac:dyDescent="0.45">
      <c r="A11" s="1"/>
      <c r="B11" s="47"/>
      <c r="C11" s="48"/>
      <c r="D11" s="48"/>
      <c r="E11" s="48"/>
      <c r="F11" s="48"/>
      <c r="G11" s="48"/>
      <c r="H11" s="23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1"/>
      <c r="B13" s="112" t="s">
        <v>227</v>
      </c>
      <c r="C13" s="112"/>
      <c r="D13" s="112"/>
      <c r="E13" s="112"/>
      <c r="F13" s="112"/>
      <c r="G13" s="112"/>
      <c r="H13" s="112"/>
      <c r="I13" s="2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2020-10-20T06:09:26Z</dcterms:modified>
</cp:coreProperties>
</file>