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illerød Vand AS (V08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7" i="19"/>
  <c r="C18"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<sst xmlns="http://schemas.openxmlformats.org/spreadsheetml/2006/main" count="515" uniqueCount="257">
  <si>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</si>
  <si>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</si>
  <si>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</si>
  <si>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</si>
  <si>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</si>
  <si>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</si>
  <si>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</si>
  <si>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</si>
  <si>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</si>
  <si>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</si>
  <si>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</si>
  <si>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</si>
  <si>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</si>
  <si>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</si>
  <si>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</si>
  <si>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</si>
  <si>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</si>
  <si>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</si>
  <si>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</si>
  <si>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</si>
  <si>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</si>
  <si>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</si>
  <si>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</si>
  <si>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</si>
  <si>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</si>
  <si>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</si>
  <si>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</si>
  <si>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</si>
  <si>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</si>
  <si>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</si>
  <si>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</si>
  <si>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</si>
  <si>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</si>
  <si>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</si>
  <si>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</si>
  <si>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</si>
  <si>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</si>
  <si>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</si>
  <si>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</si>
  <si>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</si>
  <si>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</si>
  <si>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</si>
  <si>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</si>
  <si>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</si>
  <si>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</si>
  <si>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</si>
  <si>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</si>
  <si>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</si>
  <si>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</si>
  <si>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</si>
  <si>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</si>
  <si>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</si>
  <si>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</si>
  <si>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</si>
  <si>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</si>
  <si>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</si>
  <si>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</si>
  <si>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</si>
  <si>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</si>
  <si>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</si>
  <si>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</si>
  <si>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</si>
  <si>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</si>
  <si>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</si>
  <si>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</si>
  <si>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</si>
  <si>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</si>
  <si>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</si>
  <si>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</si>
  <si>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</si>
  <si>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</si>
  <si>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</si>
  <si>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</si>
  <si>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</si>
  <si>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</si>
  <si>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</si>
  <si>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</si>
  <si>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</si>
  <si>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</si>
  <si>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</si>
  <si>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</si>
  <si>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</si>
  <si>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</si>
  <si>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</si>
  <si>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</si>
  <si>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</si>
  <si>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</si>
  <si>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</si>
  <si>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</si>
  <si>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</si>
  <si>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</si>
  <si>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</si>
  <si>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</si>
  <si>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</si>
  <si>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</si>
  <si>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</si>
  <si>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</si>
  <si>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</si>
  <si>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</si>
  <si>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</si>
  <si>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</si>
  <si>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</si>
  <si>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</si>
  <si>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</si>
  <si>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</si>
  <si>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</si>
  <si>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</si>
  <si>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</si>
  <si>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</si>
  <si>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</si>
  <si>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</si>
  <si>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</si>
  <si>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</si>
  <si>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</si>
  <si>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</si>
  <si>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</si>
  <si>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</si>
  <si>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</si>
  <si>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</si>
  <si>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</si>
  <si>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</si>
  <si>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</si>
  <si>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</si>
  <si>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</si>
  <si>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</si>
  <si>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</si>
  <si>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</si>
  <si>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</si>
  <si>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</si>
  <si>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</si>
  <si>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</si>
  <si>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</si>
  <si>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</si>
  <si>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</si>
  <si>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</si>
  <si>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</si>
  <si>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</si>
  <si>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</si>
  <si>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</si>
  <si>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</si>
  <si>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</si>
  <si>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</si>
  <si>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</si>
  <si>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</si>
  <si>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</si>
  <si>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</si>
  <si>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</si>
  <si>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</si>
  <si>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</si>
  <si>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</si>
  <si>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</si>
  <si>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</si>
  <si>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</si>
  <si>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</si>
  <si>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</si>
  <si>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</si>
  <si>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</si>
  <si>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</si>
  <si>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</si>
  <si>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</si>
  <si>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</si>
  <si>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</si>
  <si>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</si>
  <si>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</si>
  <si>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</si>
  <si>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</si>
  <si>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</si>
  <si>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</si>
  <si>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</si>
  <si>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</si>
  <si>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</si>
  <si>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</si>
  <si>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</si>
  <si>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</si>
  <si>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</si>
  <si>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</si>
  <si>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</si>
  <si>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</si>
  <si>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</si>
  <si>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</si>
  <si>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</si>
  <si>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</si>
  <si>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</si>
  <si>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</si>
  <si>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</si>
  <si>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</si>
  <si>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</si>
  <si>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</si>
  <si>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</si>
  <si>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</si>
  <si>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</si>
  <si>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</si>
  <si>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</si>
  <si>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</si>
  <si>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</si>
  <si>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</si>
  <si>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</si>
  <si>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</si>
  <si>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</si>
  <si>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</si>
  <si>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</si>
  <si>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</si>
  <si>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</si>
  <si>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</si>
  <si>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</si>
  <si>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</si>
  <si>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</si>
  <si>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</si>
  <si>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</si>
  <si>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</si>
  <si>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</si>
  <si>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</si>
  <si>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</si>
  <si>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</si>
  <si>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</si>
  <si>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</si>
  <si>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</si>
  <si>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</si>
  <si>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</si>
  <si>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</si>
  <si>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</si>
  <si>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</si>
  <si>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</si>
  <si>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</si>
  <si>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</si>
  <si>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</si>
  <si>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</si>
  <si>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</si>
  <si>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</si>
  <si>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</si>
  <si>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</si>
  <si>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</si>
  <si>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</si>
  <si>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</si>
  <si>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</si>
  <si>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Selskabsskatter</t>
  </si>
  <si>
    <t>Tjenestemandspensioner</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</si>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</sst>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3" t="s">
        <v>194</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98" t="s">
        <v>161</v>
      </c>
      <c r="E13" s="99"/>
      <c r="F13" s="99"/>
      <c r="G13" s="100"/>
      <c r="H13" s="1"/>
      <c r="I13" s="1"/>
    </row>
    <row r="14" spans="1:9" x14ac:dyDescent="0.25">
      <c r="A14" s="1"/>
      <c r="B14" s="1"/>
      <c r="C14" s="6" t="s">
        <v>14</v>
      </c>
      <c r="D14" s="98" t="s">
        <v>204</v>
      </c>
      <c r="E14" s="99"/>
      <c r="F14" s="99"/>
      <c r="G14" s="100"/>
      <c r="H14" s="1"/>
      <c r="I14" s="1"/>
    </row>
    <row r="15" spans="1:9" x14ac:dyDescent="0.25">
      <c r="A15" s="1"/>
      <c r="B15" s="1"/>
      <c r="C15" s="6" t="s">
        <v>32</v>
      </c>
      <c r="D15" s="98" t="s">
        <v>137</v>
      </c>
      <c r="E15" s="99"/>
      <c r="F15" s="99"/>
      <c r="G15" s="100"/>
      <c r="H15" s="1"/>
      <c r="I15" s="1"/>
    </row>
    <row r="16" spans="1:9" x14ac:dyDescent="0.25">
      <c r="A16" s="1"/>
      <c r="B16" s="1"/>
      <c r="C16" s="6" t="s">
        <v>33</v>
      </c>
      <c r="D16" s="98" t="s">
        <v>162</v>
      </c>
      <c r="E16" s="99"/>
      <c r="F16" s="99"/>
      <c r="G16" s="100"/>
      <c r="H16" s="1"/>
      <c r="I16" s="1"/>
    </row>
    <row r="17" spans="1:9" x14ac:dyDescent="0.25">
      <c r="A17" s="1"/>
      <c r="B17" s="1"/>
      <c r="C17" s="6" t="s">
        <v>110</v>
      </c>
      <c r="D17" s="98" t="s">
        <v>163</v>
      </c>
      <c r="E17" s="99"/>
      <c r="F17" s="99"/>
      <c r="G17" s="100"/>
      <c r="H17" s="1"/>
      <c r="I17" s="1"/>
    </row>
    <row r="18" spans="1:9" x14ac:dyDescent="0.25">
      <c r="A18" s="1"/>
      <c r="B18" s="1"/>
      <c r="C18" s="6" t="s">
        <v>94</v>
      </c>
      <c r="D18" s="104" t="s">
        <v>86</v>
      </c>
      <c r="E18" s="105"/>
      <c r="F18" s="105"/>
      <c r="G18" s="106"/>
      <c r="H18" s="1"/>
      <c r="I18" s="1"/>
    </row>
    <row r="19" spans="1:9" x14ac:dyDescent="0.25">
      <c r="A19" s="1"/>
      <c r="B19" s="1"/>
      <c r="C19" s="6" t="s">
        <v>95</v>
      </c>
      <c r="D19" s="104" t="s">
        <v>87</v>
      </c>
      <c r="E19" s="105"/>
      <c r="F19" s="105"/>
      <c r="G19" s="106"/>
      <c r="H19" s="1"/>
      <c r="I19" s="1"/>
    </row>
    <row r="20" spans="1:9" x14ac:dyDescent="0.25">
      <c r="A20" s="1"/>
      <c r="B20" s="1"/>
      <c r="C20" s="6" t="s">
        <v>7</v>
      </c>
      <c r="D20" s="104" t="s">
        <v>9</v>
      </c>
      <c r="E20" s="105"/>
      <c r="F20" s="105"/>
      <c r="G20" s="106"/>
      <c r="H20" s="1"/>
      <c r="I20" s="1"/>
    </row>
    <row r="21" spans="1:9" x14ac:dyDescent="0.25">
      <c r="A21" s="1"/>
      <c r="B21" s="1"/>
      <c r="C21" s="6" t="s">
        <v>96</v>
      </c>
      <c r="D21" s="95" t="s">
        <v>11</v>
      </c>
      <c r="E21" s="96"/>
      <c r="F21" s="96"/>
      <c r="G21" s="97"/>
      <c r="H21" s="1"/>
      <c r="I21" s="1"/>
    </row>
    <row r="22" spans="1:9" x14ac:dyDescent="0.25">
      <c r="A22" s="1"/>
      <c r="B22" s="1"/>
      <c r="C22" s="6" t="s">
        <v>78</v>
      </c>
      <c r="D22" s="89" t="s">
        <v>164</v>
      </c>
      <c r="E22" s="90"/>
      <c r="F22" s="90"/>
      <c r="G22" s="91"/>
      <c r="H22" s="1"/>
      <c r="I22" s="1"/>
    </row>
    <row r="23" spans="1:9" x14ac:dyDescent="0.25">
      <c r="A23" s="1"/>
      <c r="B23" s="1"/>
      <c r="C23" s="6" t="s">
        <v>8</v>
      </c>
      <c r="D23" s="89" t="s">
        <v>219</v>
      </c>
      <c r="E23" s="90"/>
      <c r="F23" s="90"/>
      <c r="G23" s="91"/>
      <c r="H23" s="1"/>
      <c r="I23" s="1"/>
    </row>
    <row r="24" spans="1:9" x14ac:dyDescent="0.25">
      <c r="A24" s="1"/>
      <c r="B24" s="1"/>
      <c r="C24" s="6" t="s">
        <v>215</v>
      </c>
      <c r="D24" s="89" t="s">
        <v>205</v>
      </c>
      <c r="E24" s="90"/>
      <c r="F24" s="90"/>
      <c r="G24" s="91"/>
      <c r="H24" s="1"/>
      <c r="I24" s="1"/>
    </row>
    <row r="25" spans="1:9" x14ac:dyDescent="0.25">
      <c r="A25" s="1"/>
      <c r="B25" s="1"/>
      <c r="C25" s="6" t="s">
        <v>216</v>
      </c>
      <c r="D25" s="89" t="s">
        <v>79</v>
      </c>
      <c r="E25" s="90"/>
      <c r="F25" s="90"/>
      <c r="G25" s="91"/>
      <c r="H25" s="1"/>
      <c r="I25" s="1"/>
    </row>
    <row r="26" spans="1:9" x14ac:dyDescent="0.25">
      <c r="A26" s="1"/>
      <c r="B26" s="1"/>
      <c r="C26" s="6" t="s">
        <v>217</v>
      </c>
      <c r="D26" s="89" t="s">
        <v>80</v>
      </c>
      <c r="E26" s="90"/>
      <c r="F26" s="90"/>
      <c r="G26" s="91"/>
      <c r="H26" s="1"/>
      <c r="I26" s="1"/>
    </row>
    <row r="27" spans="1:9" x14ac:dyDescent="0.25">
      <c r="A27" s="1"/>
      <c r="B27" s="1"/>
      <c r="C27" s="6" t="s">
        <v>97</v>
      </c>
      <c r="D27" s="89" t="s">
        <v>111</v>
      </c>
      <c r="E27" s="90"/>
      <c r="F27" s="90"/>
      <c r="G27" s="91"/>
      <c r="H27" s="1"/>
      <c r="I27" s="1"/>
    </row>
    <row r="28" spans="1:9" x14ac:dyDescent="0.25">
      <c r="A28" s="1"/>
      <c r="B28" s="1"/>
      <c r="C28" s="6" t="s">
        <v>91</v>
      </c>
      <c r="D28" s="89" t="s">
        <v>34</v>
      </c>
      <c r="E28" s="90"/>
      <c r="F28" s="90"/>
      <c r="G28" s="91"/>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KEtju05G+n9aTeBnXJAlTKp88p2U7/x5ANWWRTYUl1Kyp2KMk9ar1bfwSVyCG0jaqSw7DZh88um34Ff+0HQIpQ==" saltValue="4iXuVL2VFLo2bCjdyyAI5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4"/>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181</v>
      </c>
      <c r="C8" s="131"/>
      <c r="D8" s="132"/>
      <c r="E8" s="1"/>
      <c r="F8" s="1"/>
    </row>
    <row r="9" spans="1:6" ht="15" customHeight="1" x14ac:dyDescent="0.25">
      <c r="A9" s="1"/>
      <c r="B9" s="33" t="s">
        <v>30</v>
      </c>
      <c r="C9" s="11" t="s">
        <v>212</v>
      </c>
      <c r="D9" s="11"/>
      <c r="E9" s="1"/>
      <c r="F9" s="1"/>
    </row>
    <row r="10" spans="1:6" x14ac:dyDescent="0.25">
      <c r="A10" s="1"/>
      <c r="B10" s="79" t="s">
        <v>231</v>
      </c>
      <c r="C10" s="9">
        <v>11085939</v>
      </c>
      <c r="D10" s="14" t="s">
        <v>3</v>
      </c>
      <c r="E10" s="1"/>
      <c r="F10" s="1"/>
    </row>
    <row r="11" spans="1:6" x14ac:dyDescent="0.25">
      <c r="A11" s="1"/>
      <c r="B11" s="79" t="s">
        <v>232</v>
      </c>
      <c r="C11" s="9">
        <v>97774</v>
      </c>
      <c r="D11" s="14" t="s">
        <v>3</v>
      </c>
      <c r="E11" s="1"/>
      <c r="F11" s="1"/>
    </row>
    <row r="12" spans="1:6" x14ac:dyDescent="0.25">
      <c r="A12" s="1"/>
      <c r="B12" s="79" t="s">
        <v>233</v>
      </c>
      <c r="C12" s="9">
        <v>464225</v>
      </c>
      <c r="D12" s="14" t="s">
        <v>3</v>
      </c>
      <c r="E12" s="1"/>
      <c r="F12" s="1"/>
    </row>
    <row r="13" spans="1:6" x14ac:dyDescent="0.25">
      <c r="A13" s="1"/>
      <c r="B13" s="79" t="s">
        <v>234</v>
      </c>
      <c r="C13" s="9">
        <v>151690</v>
      </c>
      <c r="D13" s="14" t="s">
        <v>3</v>
      </c>
      <c r="E13" s="1"/>
      <c r="F13" s="1"/>
    </row>
    <row r="14" spans="1:6" x14ac:dyDescent="0.25">
      <c r="A14" s="1"/>
      <c r="B14" s="79" t="s">
        <v>235</v>
      </c>
      <c r="C14" s="9">
        <v>160009</v>
      </c>
      <c r="D14" s="14" t="s">
        <v>3</v>
      </c>
      <c r="E14" s="1"/>
      <c r="F14" s="1"/>
    </row>
    <row r="15" spans="1:6" x14ac:dyDescent="0.25">
      <c r="A15" s="1"/>
      <c r="B15" s="79" t="s">
        <v>236</v>
      </c>
      <c r="C15" s="9">
        <v>30123</v>
      </c>
      <c r="D15" s="14" t="s">
        <v>3</v>
      </c>
      <c r="E15" s="1"/>
      <c r="F15" s="1"/>
    </row>
    <row r="16" spans="1:6" x14ac:dyDescent="0.25">
      <c r="A16" s="1"/>
      <c r="B16" s="79" t="s">
        <v>237</v>
      </c>
      <c r="C16" s="9">
        <v>111631</v>
      </c>
      <c r="D16" s="14" t="s">
        <v>3</v>
      </c>
      <c r="E16" s="1"/>
      <c r="F16" s="1"/>
    </row>
    <row r="17" spans="1:6" x14ac:dyDescent="0.25">
      <c r="A17" s="1"/>
      <c r="B17" s="71" t="s">
        <v>182</v>
      </c>
      <c r="C17" s="12">
        <f>SUM(C10:C16)</f>
        <v>12101391</v>
      </c>
      <c r="D17" s="13" t="s">
        <v>3</v>
      </c>
      <c r="E17" s="1"/>
      <c r="F17" s="1"/>
    </row>
    <row r="18" spans="1:6" x14ac:dyDescent="0.25">
      <c r="A18" s="1"/>
      <c r="B18" s="71" t="s">
        <v>183</v>
      </c>
      <c r="C18" s="12">
        <f>C17*(1+'Fane 13. Nøgletal'!C15)^2</f>
        <v>12978346.858097762</v>
      </c>
      <c r="D18" s="13" t="s">
        <v>3</v>
      </c>
      <c r="E18" s="1"/>
      <c r="F18" s="1"/>
    </row>
    <row r="19" spans="1:6" x14ac:dyDescent="0.25">
      <c r="A19" s="1"/>
      <c r="B19" s="16"/>
      <c r="C19" s="15"/>
      <c r="D19" s="15"/>
      <c r="E19" s="1"/>
      <c r="F19" s="1"/>
    </row>
    <row r="20" spans="1:6" x14ac:dyDescent="0.25">
      <c r="A20" s="1"/>
      <c r="B20" s="16"/>
      <c r="C20" s="15"/>
      <c r="D20" s="15"/>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row r="53" spans="1:6" x14ac:dyDescent="0.25">
      <c r="A53" s="55"/>
      <c r="B53" s="55"/>
      <c r="C53" s="55"/>
      <c r="D53" s="55"/>
      <c r="E53" s="55"/>
      <c r="F53" s="55"/>
    </row>
    <row r="54" spans="1:6" x14ac:dyDescent="0.25">
      <c r="A54" s="55"/>
      <c r="B54" s="55"/>
      <c r="C54" s="55"/>
      <c r="D54" s="55"/>
      <c r="E54" s="55"/>
      <c r="F54" s="55"/>
    </row>
  </sheetData>
  <sheetProtection algorithmName="SHA-512" hashValue="5xx/XQDFYF5nc4N/XL4wqy2PunPHtB/dbymC8Mtv9cgwRAHTk5fOMMuC51UUZy/bBWUk7wEa/8ra+gwvZp27Ag==" saltValue="zlheeHK5s7XESvDl/VfjT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184</v>
      </c>
      <c r="C3" s="115"/>
      <c r="D3" s="115"/>
      <c r="E3" s="115"/>
      <c r="F3" s="115"/>
      <c r="G3" s="1"/>
    </row>
    <row r="4" spans="1:7" ht="15" customHeight="1" x14ac:dyDescent="0.25">
      <c r="A4" s="1"/>
      <c r="B4" s="115"/>
      <c r="C4" s="115"/>
      <c r="D4" s="115"/>
      <c r="E4" s="115"/>
      <c r="F4" s="115"/>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30" t="s">
        <v>155</v>
      </c>
      <c r="C8" s="131"/>
      <c r="D8" s="131"/>
      <c r="E8" s="131"/>
      <c r="F8" s="132"/>
      <c r="G8" s="1"/>
    </row>
    <row r="9" spans="1:7" x14ac:dyDescent="0.25">
      <c r="A9" s="1"/>
      <c r="B9" s="133" t="s">
        <v>156</v>
      </c>
      <c r="C9" s="134"/>
      <c r="D9" s="135"/>
      <c r="E9" s="9">
        <v>353909</v>
      </c>
      <c r="F9" s="14" t="s">
        <v>3</v>
      </c>
      <c r="G9" s="1"/>
    </row>
    <row r="10" spans="1:7" x14ac:dyDescent="0.25">
      <c r="A10" s="1"/>
      <c r="B10" s="148" t="s">
        <v>238</v>
      </c>
      <c r="C10" s="149"/>
      <c r="D10" s="150"/>
      <c r="E10" s="9">
        <v>353909</v>
      </c>
      <c r="F10" s="54" t="s">
        <v>3</v>
      </c>
      <c r="G10" s="1"/>
    </row>
    <row r="11" spans="1:7" x14ac:dyDescent="0.25">
      <c r="A11" s="1"/>
      <c r="B11" s="133" t="s">
        <v>185</v>
      </c>
      <c r="C11" s="134"/>
      <c r="D11" s="135"/>
      <c r="E11" s="9">
        <v>-353909.44348815084</v>
      </c>
      <c r="F11" s="14" t="s">
        <v>3</v>
      </c>
      <c r="G11" s="1"/>
    </row>
    <row r="12" spans="1:7" x14ac:dyDescent="0.25">
      <c r="A12" s="1"/>
      <c r="B12" s="71"/>
      <c r="C12" s="72"/>
      <c r="D12" s="72"/>
      <c r="E12" s="72"/>
      <c r="F12" s="19"/>
      <c r="G12" s="1"/>
    </row>
    <row r="13" spans="1:7" ht="64.900000000000006" customHeight="1" x14ac:dyDescent="0.25">
      <c r="A13" s="1"/>
      <c r="B13" s="119" t="s">
        <v>254</v>
      </c>
      <c r="C13" s="120"/>
      <c r="D13" s="120"/>
      <c r="E13" s="120"/>
      <c r="F13" s="121"/>
      <c r="G13" s="1"/>
    </row>
    <row r="14" spans="1:7" ht="27" customHeight="1" x14ac:dyDescent="0.25">
      <c r="A14" s="1"/>
      <c r="B14" s="1"/>
      <c r="C14" s="1"/>
      <c r="D14" s="1"/>
      <c r="E14" s="1"/>
      <c r="F14" s="1"/>
      <c r="G14" s="1"/>
    </row>
    <row r="15" spans="1:7" ht="28.5" customHeight="1" x14ac:dyDescent="0.25">
      <c r="A15" s="1"/>
      <c r="B15" s="130" t="s">
        <v>157</v>
      </c>
      <c r="C15" s="131"/>
      <c r="D15" s="131"/>
      <c r="E15" s="131"/>
      <c r="F15" s="132"/>
      <c r="G15" s="1"/>
    </row>
    <row r="16" spans="1:7" x14ac:dyDescent="0.25">
      <c r="A16" s="1"/>
      <c r="B16" s="133" t="s">
        <v>239</v>
      </c>
      <c r="C16" s="134"/>
      <c r="D16" s="135"/>
      <c r="E16" s="9">
        <v>-0.11087203770875931</v>
      </c>
      <c r="F16" s="14" t="s">
        <v>3</v>
      </c>
      <c r="G16" s="1"/>
    </row>
    <row r="17" spans="1:7" x14ac:dyDescent="0.25">
      <c r="A17" s="1"/>
      <c r="B17" s="133" t="s">
        <v>240</v>
      </c>
      <c r="C17" s="134"/>
      <c r="D17" s="135"/>
      <c r="E17" s="9">
        <v>-0.11087203770875931</v>
      </c>
      <c r="F17" s="14" t="s">
        <v>3</v>
      </c>
      <c r="G17" s="1"/>
    </row>
    <row r="18" spans="1:7" x14ac:dyDescent="0.25">
      <c r="A18" s="1"/>
      <c r="B18" s="71"/>
      <c r="C18" s="72"/>
      <c r="D18" s="72"/>
      <c r="E18" s="72"/>
      <c r="F18" s="19"/>
      <c r="G18" s="1"/>
    </row>
    <row r="19" spans="1:7" ht="31.5" customHeight="1" x14ac:dyDescent="0.25">
      <c r="A19" s="1"/>
      <c r="B19" s="119" t="s">
        <v>158</v>
      </c>
      <c r="C19" s="120"/>
      <c r="D19" s="120"/>
      <c r="E19" s="120"/>
      <c r="F19" s="121"/>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241</v>
      </c>
      <c r="C22" s="77"/>
      <c r="D22" s="78"/>
      <c r="E22" s="9">
        <v>36269429.494832836</v>
      </c>
      <c r="F22" s="14" t="s">
        <v>3</v>
      </c>
      <c r="G22" s="1"/>
    </row>
    <row r="23" spans="1:7" x14ac:dyDescent="0.25">
      <c r="A23" s="1"/>
      <c r="B23" s="76" t="s">
        <v>187</v>
      </c>
      <c r="C23" s="77"/>
      <c r="D23" s="78"/>
      <c r="E23" s="9">
        <v>38530378</v>
      </c>
      <c r="F23" s="14" t="s">
        <v>3</v>
      </c>
      <c r="G23" s="1"/>
    </row>
    <row r="24" spans="1:7" x14ac:dyDescent="0.25">
      <c r="A24" s="1"/>
      <c r="B24" s="76" t="s">
        <v>31</v>
      </c>
      <c r="C24" s="77"/>
      <c r="D24" s="78"/>
      <c r="E24" s="9">
        <v>687714</v>
      </c>
      <c r="F24" s="14" t="s">
        <v>3</v>
      </c>
      <c r="G24" s="1"/>
    </row>
    <row r="25" spans="1:7" x14ac:dyDescent="0.25">
      <c r="A25" s="1"/>
      <c r="B25" s="51" t="s">
        <v>255</v>
      </c>
      <c r="C25" s="52"/>
      <c r="D25" s="53"/>
      <c r="E25" s="57">
        <f>E22-(E23-E24)</f>
        <v>-1573234.5051671639</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30" t="s">
        <v>242</v>
      </c>
      <c r="C28" s="131"/>
      <c r="D28" s="131"/>
      <c r="E28" s="131"/>
      <c r="F28" s="132"/>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-1573234.7269112393</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-786617.36345561966</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d7MTgCqkEgTGcjeXSuydcm3lduNM4nJ2QNJGzD9lyRDQTxXM7yJ6Vt5Pk7DzKMmUrZ3L/iyUDGG+kK6lXxtcAw==" saltValue="wYLVLcdutdZGm9EjZKwRh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227</v>
      </c>
      <c r="C8" s="131"/>
      <c r="D8" s="131"/>
      <c r="E8" s="131"/>
      <c r="F8" s="131"/>
      <c r="G8" s="131"/>
      <c r="H8" s="132"/>
      <c r="I8" s="1"/>
    </row>
    <row r="9" spans="1:9" ht="15" customHeight="1" x14ac:dyDescent="0.25">
      <c r="A9" s="1"/>
      <c r="B9" s="125" t="s">
        <v>228</v>
      </c>
      <c r="C9" s="126"/>
      <c r="D9" s="126"/>
      <c r="E9" s="126"/>
      <c r="F9" s="126"/>
      <c r="G9" s="126"/>
      <c r="H9" s="127"/>
      <c r="I9" s="1"/>
    </row>
    <row r="10" spans="1:9" x14ac:dyDescent="0.25">
      <c r="A10" s="1"/>
      <c r="B10" s="154" t="s">
        <v>246</v>
      </c>
      <c r="C10" s="155"/>
      <c r="D10" s="155"/>
      <c r="E10" s="155"/>
      <c r="F10" s="156"/>
      <c r="G10" s="56">
        <v>0</v>
      </c>
      <c r="H10" s="9" t="s">
        <v>3</v>
      </c>
      <c r="I10" s="1"/>
    </row>
    <row r="11" spans="1:9" x14ac:dyDescent="0.25">
      <c r="A11" s="1"/>
      <c r="B11" s="154" t="s">
        <v>247</v>
      </c>
      <c r="C11" s="155"/>
      <c r="D11" s="155"/>
      <c r="E11" s="155"/>
      <c r="F11" s="156"/>
      <c r="G11" s="56">
        <v>0</v>
      </c>
      <c r="H11" s="9" t="s">
        <v>3</v>
      </c>
      <c r="I11" s="1"/>
    </row>
    <row r="12" spans="1:9" x14ac:dyDescent="0.25">
      <c r="A12" s="1"/>
      <c r="B12" s="154" t="s">
        <v>248</v>
      </c>
      <c r="C12" s="155"/>
      <c r="D12" s="155"/>
      <c r="E12" s="155"/>
      <c r="F12" s="156"/>
      <c r="G12" s="9">
        <v>0</v>
      </c>
      <c r="H12" s="9" t="s">
        <v>3</v>
      </c>
      <c r="I12" s="1"/>
    </row>
    <row r="13" spans="1:9" x14ac:dyDescent="0.25">
      <c r="A13" s="1"/>
      <c r="B13" s="154" t="s">
        <v>249</v>
      </c>
      <c r="C13" s="155"/>
      <c r="D13" s="155"/>
      <c r="E13" s="155"/>
      <c r="F13" s="156"/>
      <c r="G13" s="9">
        <v>0</v>
      </c>
      <c r="H13" s="9" t="s">
        <v>3</v>
      </c>
      <c r="I13" s="1"/>
    </row>
    <row r="14" spans="1:9" x14ac:dyDescent="0.25">
      <c r="A14" s="1"/>
      <c r="B14" s="154" t="s">
        <v>250</v>
      </c>
      <c r="C14" s="155"/>
      <c r="D14" s="155"/>
      <c r="E14" s="155"/>
      <c r="F14" s="156"/>
      <c r="G14" s="9">
        <v>0</v>
      </c>
      <c r="H14" s="9" t="s">
        <v>3</v>
      </c>
      <c r="I14" s="1"/>
    </row>
    <row r="15" spans="1:9" x14ac:dyDescent="0.25">
      <c r="A15" s="1"/>
      <c r="B15" s="154" t="s">
        <v>251</v>
      </c>
      <c r="C15" s="155"/>
      <c r="D15" s="155"/>
      <c r="E15" s="155"/>
      <c r="F15" s="156"/>
      <c r="G15" s="9">
        <v>0</v>
      </c>
      <c r="H15" s="9" t="s">
        <v>3</v>
      </c>
      <c r="I15" s="1"/>
    </row>
    <row r="16" spans="1:9" x14ac:dyDescent="0.25">
      <c r="A16" s="1"/>
      <c r="B16" s="154" t="s">
        <v>252</v>
      </c>
      <c r="C16" s="155"/>
      <c r="D16" s="155"/>
      <c r="E16" s="155"/>
      <c r="F16" s="156"/>
      <c r="G16" s="9">
        <v>0</v>
      </c>
      <c r="H16" s="9" t="s">
        <v>3</v>
      </c>
      <c r="I16" s="1"/>
    </row>
    <row r="17" spans="1:9" x14ac:dyDescent="0.25">
      <c r="A17" s="1"/>
      <c r="B17" s="154" t="s">
        <v>253</v>
      </c>
      <c r="C17" s="155"/>
      <c r="D17" s="155"/>
      <c r="E17" s="155"/>
      <c r="F17" s="156"/>
      <c r="G17" s="9">
        <v>0</v>
      </c>
      <c r="H17" s="9" t="s">
        <v>3</v>
      </c>
      <c r="I17" s="1"/>
    </row>
    <row r="18" spans="1:9" x14ac:dyDescent="0.25">
      <c r="A18" s="1"/>
      <c r="B18" s="130" t="s">
        <v>229</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khVrsKg6jiQLFmGU7Xchp3mgijfLX/MfRXErhoLEBvdw8OMqG/y8RK0W/dgeK8Jd9u2hFJxzXBpSi4HDDBrtpw==" saltValue="hyneuBTeh+67PpC9OZ0bx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2.42578125" style="2" customWidth="1"/>
    <col min="2" max="2" width="24"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192</v>
      </c>
      <c r="C8" s="131"/>
      <c r="D8" s="131"/>
      <c r="E8" s="131"/>
      <c r="F8" s="131"/>
      <c r="G8" s="131"/>
      <c r="H8" s="131"/>
      <c r="I8" s="131"/>
      <c r="J8" s="131"/>
      <c r="K8" s="132"/>
      <c r="L8" s="1"/>
    </row>
    <row r="9" spans="1:12" ht="39.75" customHeight="1" x14ac:dyDescent="0.25">
      <c r="A9" s="1"/>
      <c r="B9" s="18" t="s">
        <v>0</v>
      </c>
      <c r="C9" s="18" t="s">
        <v>1</v>
      </c>
      <c r="D9" s="157" t="s">
        <v>213</v>
      </c>
      <c r="E9" s="158"/>
      <c r="F9" s="157" t="s">
        <v>2</v>
      </c>
      <c r="G9" s="158"/>
      <c r="H9" s="157" t="s">
        <v>214</v>
      </c>
      <c r="I9" s="158"/>
      <c r="J9" s="157" t="s">
        <v>28</v>
      </c>
      <c r="K9" s="158"/>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7uX0YAKg+n/rqo0jWUwImc9lRGFFG72wglaxtaFy9LVFCvOMHSzmYxniWhQPO/0nVozKAMA3ITMNwE+MC+S5kA==" saltValue="NfMBcTKf13opik0sugk1e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245</v>
      </c>
      <c r="C11" s="21">
        <v>129301</v>
      </c>
      <c r="D11" s="14" t="s">
        <v>3</v>
      </c>
      <c r="E11" s="9">
        <v>2148</v>
      </c>
      <c r="F11" s="14" t="s">
        <v>3</v>
      </c>
      <c r="G11" s="1"/>
    </row>
    <row r="12" spans="1:7" x14ac:dyDescent="0.25">
      <c r="A12" s="1"/>
      <c r="B12" s="71" t="s">
        <v>148</v>
      </c>
      <c r="C12" s="12">
        <f>SUM(C10:C11)</f>
        <v>129301</v>
      </c>
      <c r="D12" s="13" t="s">
        <v>3</v>
      </c>
      <c r="E12" s="12">
        <f>SUM(E10:E11)</f>
        <v>2148</v>
      </c>
      <c r="F12" s="13" t="s">
        <v>3</v>
      </c>
      <c r="G12" s="1"/>
    </row>
    <row r="13" spans="1:7" x14ac:dyDescent="0.25">
      <c r="A13" s="1"/>
      <c r="B13" s="71" t="s">
        <v>188</v>
      </c>
      <c r="C13" s="12">
        <f>C12*(1+'Fane 13. Nøgletal'!C15)</f>
        <v>133904.11560000002</v>
      </c>
      <c r="D13" s="13" t="s">
        <v>3</v>
      </c>
      <c r="E13" s="12">
        <f>E12*(1+'Fane 13. Nøgletal'!C15)</f>
        <v>2224.4688000000001</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55"/>
      <c r="B46" s="55"/>
      <c r="C46" s="55"/>
      <c r="D46" s="55"/>
      <c r="E46" s="55"/>
      <c r="F46" s="55"/>
      <c r="G46" s="55"/>
    </row>
    <row r="47" spans="1:7" x14ac:dyDescent="0.25">
      <c r="A47" s="55"/>
      <c r="B47" s="55"/>
      <c r="C47" s="55"/>
      <c r="D47" s="55"/>
      <c r="E47" s="55"/>
      <c r="F47" s="55"/>
      <c r="G47" s="55"/>
    </row>
    <row r="48" spans="1:7" x14ac:dyDescent="0.25">
      <c r="A48" s="55"/>
      <c r="B48" s="55"/>
      <c r="C48" s="55"/>
      <c r="D48" s="55"/>
      <c r="E48" s="55"/>
      <c r="F48" s="55"/>
      <c r="G48" s="55"/>
    </row>
    <row r="49" spans="1:7" x14ac:dyDescent="0.25">
      <c r="A49" s="55"/>
      <c r="B49" s="55"/>
      <c r="C49" s="55"/>
      <c r="D49" s="55"/>
      <c r="E49" s="55"/>
      <c r="F49" s="55"/>
      <c r="G49" s="55"/>
    </row>
  </sheetData>
  <sheetProtection algorithmName="SHA-512" hashValue="h/VAQXP/Kxu/av/wITQn9VgBDf0gUwLKYKw3Y1PyE7MbN9yMJDZ6CFnZNyuKtOJS4PyiESmE+27SV6Ei/Ch/0g==" saltValue="7e50pKKfYCvzjKGE0eT0/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0" t="s">
        <v>88</v>
      </c>
      <c r="C9" s="131"/>
      <c r="D9" s="131"/>
      <c r="E9" s="131"/>
      <c r="F9" s="132"/>
      <c r="G9" s="1"/>
    </row>
    <row r="10" spans="1:7" ht="26.25" x14ac:dyDescent="0.25">
      <c r="A10" s="1"/>
      <c r="B10" s="69" t="s">
        <v>15</v>
      </c>
      <c r="C10" s="69" t="s">
        <v>10</v>
      </c>
      <c r="D10" s="70"/>
      <c r="E10" s="69" t="s">
        <v>29</v>
      </c>
      <c r="F10" s="66"/>
      <c r="G10" s="1"/>
    </row>
    <row r="11" spans="1:7" x14ac:dyDescent="0.25">
      <c r="A11" s="1"/>
      <c r="B11" s="22" t="s">
        <v>256</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lrZtGHO8+UNgKY8ZRt6Qhi8KqZGY7Ezo7pwZcS4auV+s4N3QCDXTyGSHqLeI1ReYqF/Wo9DKq6OKIyEOxLUilA==" saltValue="gS9tJmrMcturEAAfHsusD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223</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112</v>
      </c>
      <c r="C8" s="131"/>
      <c r="D8" s="131"/>
      <c r="E8" s="131"/>
      <c r="F8" s="132"/>
      <c r="G8" s="1"/>
    </row>
    <row r="9" spans="1:7" ht="15" customHeight="1" x14ac:dyDescent="0.25">
      <c r="A9" s="1"/>
      <c r="B9" s="65" t="s">
        <v>113</v>
      </c>
      <c r="C9" s="125" t="s">
        <v>10</v>
      </c>
      <c r="D9" s="127"/>
      <c r="E9" s="125" t="s">
        <v>29</v>
      </c>
      <c r="F9" s="127"/>
      <c r="G9" s="1"/>
    </row>
    <row r="10" spans="1:7" x14ac:dyDescent="0.25">
      <c r="A10" s="1"/>
      <c r="B10" s="22" t="s">
        <v>243</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4412ZP975uYN5vWUIVCLS66j528xqrcAyr+2p4xBy/odx9X3VQ8ea5WqM0VfBL3Hdn8trD0vFYUggbTx7ajrA==" saltValue="Nws1zjTVTpJbEm4Oyo9u0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4.140625" style="2" customWidth="1"/>
    <col min="2" max="2" width="36.28515625" style="2" customWidth="1"/>
    <col min="3" max="3" width="17" style="2" customWidth="1"/>
    <col min="4" max="4" width="3.28515625" style="2" customWidth="1"/>
    <col min="5" max="5" width="18.140625" style="2" customWidth="1"/>
    <col min="6" max="6" width="3.28515625" style="2" customWidth="1"/>
    <col min="7" max="7" width="4.140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224</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30" t="s">
        <v>85</v>
      </c>
      <c r="C10" s="131"/>
      <c r="D10" s="131"/>
      <c r="E10" s="131"/>
      <c r="F10" s="132"/>
      <c r="G10" s="1"/>
    </row>
    <row r="11" spans="1:7" x14ac:dyDescent="0.25">
      <c r="A11" s="1"/>
      <c r="B11" s="65" t="s">
        <v>16</v>
      </c>
      <c r="C11" s="65" t="s">
        <v>10</v>
      </c>
      <c r="D11" s="66"/>
      <c r="E11" s="65" t="s">
        <v>29</v>
      </c>
      <c r="F11" s="66"/>
      <c r="G11" s="1"/>
    </row>
    <row r="12" spans="1:7" x14ac:dyDescent="0.25">
      <c r="A12" s="1"/>
      <c r="B12" s="22" t="s">
        <v>244</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rzm1hK27T+YY+ZtHaPWg6SWrlpzRIUuWBIALudgZAg3uiCcoL6KfO7BvhDaAEESXGtg6dC4hDhAegISgz4qp0Q==" saltValue="K+7wqlxRXNKzj24prQ0Cc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5" t="s">
        <v>225</v>
      </c>
      <c r="C3" s="115"/>
      <c r="D3" s="1"/>
    </row>
    <row r="4" spans="1:4" ht="25.5" customHeight="1" x14ac:dyDescent="0.25">
      <c r="A4" s="1"/>
      <c r="B4" s="115"/>
      <c r="C4" s="115"/>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30"/>
      <c r="C16" s="132"/>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sheetData>
  <sheetProtection algorithmName="SHA-512" hashValue="4F0SB8mD4oV8Wj1gM0RSqkAhyromrseFcV6v72fXSo17IaOxRdD8TQFqlpcH8sYbnnqTD9xWAsBrpTqjxCuoNQ==" saltValue="NnX+5UnEF35m3VE1i+khc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22769005.419382606</v>
      </c>
      <c r="D8" s="8" t="s">
        <v>3</v>
      </c>
      <c r="E8" s="1"/>
    </row>
    <row r="9" spans="1:5" ht="17.25" customHeight="1" x14ac:dyDescent="0.25">
      <c r="A9" s="1"/>
      <c r="B9" s="23" t="s">
        <v>35</v>
      </c>
      <c r="C9" s="7">
        <f>'Fane 10.1. Varige tillæg'!C13</f>
        <v>133904.11560000002</v>
      </c>
      <c r="D9" s="8" t="s">
        <v>3</v>
      </c>
      <c r="E9" s="1"/>
    </row>
    <row r="10" spans="1:5" ht="17.25" customHeight="1" x14ac:dyDescent="0.25">
      <c r="A10" s="1"/>
      <c r="B10" s="23" t="s">
        <v>36</v>
      </c>
      <c r="C10" s="9">
        <f>'Fane 10.1. Varige tillæg'!E13</f>
        <v>2224.4688000000001</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815422.77053466078</v>
      </c>
      <c r="D15" s="8" t="s">
        <v>3</v>
      </c>
      <c r="E15" s="1"/>
    </row>
    <row r="16" spans="1:5" ht="17.25" customHeight="1" x14ac:dyDescent="0.25">
      <c r="A16" s="1"/>
      <c r="B16" s="23" t="s">
        <v>9</v>
      </c>
      <c r="C16" s="9">
        <f>-SUM(C8,C9:C15)*'Fane 5. Individuelt eff. krav'!G9</f>
        <v>-474411.13548634539</v>
      </c>
      <c r="D16" s="8" t="s">
        <v>3</v>
      </c>
      <c r="E16" s="1"/>
    </row>
    <row r="17" spans="1:5" ht="17.25" customHeight="1" x14ac:dyDescent="0.25">
      <c r="A17" s="1"/>
      <c r="B17" s="23" t="s">
        <v>23</v>
      </c>
      <c r="C17" s="9">
        <f>-'Fane 4.1. Gen. krav - drift'!G43</f>
        <v>-223615.61700812925</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23022530.021822792</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omk.'!C18</f>
        <v>12978346.858097762</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-786617.36345561966</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35214259.516464934</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TXp4e9Im+k2stRpRpPdeVZ3nTVtTC5n0nXwdCOHwMIRpNV2AthRILjtHZOnimSr4n2ific8Hz6V34dyW5IrOLw==" saltValue="9uKod/ds08uKivPCrc1ey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23022530.021822792</v>
      </c>
      <c r="D8" s="8" t="s">
        <v>3</v>
      </c>
      <c r="E8" s="1"/>
    </row>
    <row r="9" spans="1:5" ht="15" customHeight="1" x14ac:dyDescent="0.25">
      <c r="A9" s="1"/>
      <c r="B9" s="64" t="s">
        <v>17</v>
      </c>
      <c r="C9" s="9">
        <f>SUM(C8:C8)*'Fane 13. Nøgletal'!C15</f>
        <v>819602.06877689133</v>
      </c>
      <c r="D9" s="8" t="s">
        <v>3</v>
      </c>
      <c r="E9" s="1"/>
    </row>
    <row r="10" spans="1:5" ht="15" customHeight="1" x14ac:dyDescent="0.25">
      <c r="A10" s="1"/>
      <c r="B10" s="64" t="s">
        <v>9</v>
      </c>
      <c r="C10" s="9">
        <f>-SUM(C8:C9)*'Fane 5. Individuelt eff. krav'!G9</f>
        <v>-476842.64181199367</v>
      </c>
      <c r="D10" s="8" t="s">
        <v>3</v>
      </c>
      <c r="E10" s="1"/>
    </row>
    <row r="11" spans="1:5" ht="15" customHeight="1" x14ac:dyDescent="0.25">
      <c r="A11" s="1"/>
      <c r="B11" s="64" t="s">
        <v>23</v>
      </c>
      <c r="C11" s="9">
        <f>-'Fane 4.1. Gen. krav - drift'!G48</f>
        <v>-226944.80631414629</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23138344.642473541</v>
      </c>
      <c r="D13" s="11" t="s">
        <v>3</v>
      </c>
      <c r="E13" s="1"/>
    </row>
    <row r="14" spans="1:5" x14ac:dyDescent="0.25">
      <c r="A14" s="1"/>
      <c r="B14" s="71" t="s">
        <v>11</v>
      </c>
      <c r="C14" s="72"/>
      <c r="D14" s="19"/>
      <c r="E14" s="1"/>
    </row>
    <row r="15" spans="1:5" ht="15" customHeight="1" x14ac:dyDescent="0.25">
      <c r="A15" s="1"/>
      <c r="B15" s="65" t="s">
        <v>11</v>
      </c>
      <c r="C15" s="10">
        <f>'Fane 6. Ikke-påvirkelige omk.'!C18*(1+'Fane 13. Nøgletal'!C15)</f>
        <v>13440376.006246043</v>
      </c>
      <c r="D15" s="11" t="s">
        <v>3</v>
      </c>
      <c r="E15" s="1"/>
    </row>
    <row r="16" spans="1:5" x14ac:dyDescent="0.25">
      <c r="A16" s="1"/>
      <c r="B16" s="25" t="s">
        <v>128</v>
      </c>
      <c r="C16" s="72"/>
      <c r="D16" s="19"/>
      <c r="E16" s="1"/>
    </row>
    <row r="17" spans="1:5" ht="15" customHeight="1" x14ac:dyDescent="0.25">
      <c r="A17" s="1"/>
      <c r="B17" s="80" t="s">
        <v>129</v>
      </c>
      <c r="C17" s="10">
        <f>'Fane 7. Kontrol af ØR2021'!E31</f>
        <v>-786617.36345561966</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35792103.28526397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2oxF9aoCI8RscvORhW5xk1yqNaKJvcW056QT6Rj/9VjInk6eTDmGfoxWCEff2p7aBYMpzGk5L6Zc9KPR4MHwZw==" saltValue="ApH7JbWrXLwAjBMZMsMy0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23138344.642473541</v>
      </c>
      <c r="D8" s="8" t="s">
        <v>3</v>
      </c>
      <c r="E8" s="1"/>
    </row>
    <row r="9" spans="1:5" ht="15" customHeight="1" x14ac:dyDescent="0.25">
      <c r="A9" s="1"/>
      <c r="B9" s="64" t="s">
        <v>17</v>
      </c>
      <c r="C9" s="9">
        <f>SUM(C8:C8)*'Fane 13. Nøgletal'!C15</f>
        <v>823725.06927205808</v>
      </c>
      <c r="D9" s="8" t="s">
        <v>3</v>
      </c>
      <c r="E9" s="1"/>
    </row>
    <row r="10" spans="1:5" ht="15" customHeight="1" x14ac:dyDescent="0.25">
      <c r="A10" s="1"/>
      <c r="B10" s="64" t="s">
        <v>9</v>
      </c>
      <c r="C10" s="9">
        <f>-SUM(C8:C9)*'Fane 5. Individuelt eff. krav'!G9</f>
        <v>-479241.39423491195</v>
      </c>
      <c r="D10" s="8" t="s">
        <v>3</v>
      </c>
      <c r="E10" s="1"/>
    </row>
    <row r="11" spans="1:5" ht="15" customHeight="1" x14ac:dyDescent="0.25">
      <c r="A11" s="1"/>
      <c r="B11" s="64" t="s">
        <v>23</v>
      </c>
      <c r="C11" s="9">
        <f>-'Fane 4.1. Gen. krav - drift'!G53</f>
        <v>-230323.56059055132</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23252504.756920137</v>
      </c>
      <c r="D13" s="11" t="s">
        <v>3</v>
      </c>
      <c r="E13" s="1"/>
    </row>
    <row r="14" spans="1:5" x14ac:dyDescent="0.25">
      <c r="A14" s="1"/>
      <c r="B14" s="71" t="s">
        <v>11</v>
      </c>
      <c r="C14" s="72"/>
      <c r="D14" s="19"/>
      <c r="E14" s="1"/>
    </row>
    <row r="15" spans="1:5" ht="15" customHeight="1" x14ac:dyDescent="0.25">
      <c r="A15" s="1"/>
      <c r="B15" s="65" t="s">
        <v>11</v>
      </c>
      <c r="C15" s="10">
        <f>'Fane 6. Ikke-påvirkelige omk.'!C18*(1+'Fane 13. Nøgletal'!C15)^2</f>
        <v>13918853.392068403</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37171358.148988537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Fe43nItI0FU99sfT/B6wq3YFO42PZNkhC68Gj7Gyp3tav48bMON0k7UEengAXoRtildYzXgefCxhosRbqn2AXA==" saltValue="kIm8riucmmuHglikqB+1/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23252504.756920137</v>
      </c>
      <c r="D8" s="8" t="s">
        <v>3</v>
      </c>
      <c r="E8" s="1"/>
    </row>
    <row r="9" spans="1:5" ht="15" customHeight="1" x14ac:dyDescent="0.25">
      <c r="A9" s="1"/>
      <c r="B9" s="64" t="s">
        <v>17</v>
      </c>
      <c r="C9" s="9">
        <f>SUM(C8:C8)*'Fane 13. Nøgletal'!C15</f>
        <v>827789.16934635688</v>
      </c>
      <c r="D9" s="8" t="s">
        <v>3</v>
      </c>
      <c r="E9" s="1"/>
    </row>
    <row r="10" spans="1:5" ht="15" customHeight="1" x14ac:dyDescent="0.25">
      <c r="A10" s="1"/>
      <c r="B10" s="64" t="s">
        <v>9</v>
      </c>
      <c r="C10" s="9">
        <f>-SUM(C8:C9)*'Fane 5. Individuelt eff. krav'!G9</f>
        <v>-481605.87852532993</v>
      </c>
      <c r="D10" s="8" t="s">
        <v>3</v>
      </c>
      <c r="E10" s="1"/>
    </row>
    <row r="11" spans="1:5" ht="15" customHeight="1" x14ac:dyDescent="0.25">
      <c r="A11" s="1"/>
      <c r="B11" s="64" t="s">
        <v>23</v>
      </c>
      <c r="C11" s="9">
        <f>-'Fane 4.1. Gen. krav - drift'!G58</f>
        <v>-233752.61776062343</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23364935.429980539</v>
      </c>
      <c r="D13" s="11" t="s">
        <v>3</v>
      </c>
      <c r="E13" s="1"/>
    </row>
    <row r="14" spans="1:5" x14ac:dyDescent="0.25">
      <c r="A14" s="1"/>
      <c r="B14" s="71" t="s">
        <v>11</v>
      </c>
      <c r="C14" s="72"/>
      <c r="D14" s="19"/>
      <c r="E14" s="1"/>
    </row>
    <row r="15" spans="1:5" ht="15" customHeight="1" x14ac:dyDescent="0.25">
      <c r="A15" s="1"/>
      <c r="B15" s="65" t="s">
        <v>11</v>
      </c>
      <c r="C15" s="10">
        <f>'Fane 6. Ikke-påvirkelige omk.'!C18*(1+'Fane 13. Nøgletal'!C15)^3</f>
        <v>14414364.572826039</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37779300.002806574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Reef336j6KIeRJJuax+oWyVQDZBHZ/Hf5NZTgiTBolY3ZvmKCy57W/7uAMV4NeCrX7mrab4PcO3rviHUH77hzw==" saltValue="lVxkPeuVddAg1cjy6pT/A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171</v>
      </c>
      <c r="C3" s="115"/>
      <c r="D3" s="115"/>
      <c r="E3" s="115"/>
      <c r="F3" s="115"/>
      <c r="G3" s="1"/>
    </row>
    <row r="4" spans="1:7" ht="29.2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16" t="s">
        <v>22</v>
      </c>
      <c r="C9" s="117"/>
      <c r="D9" s="118"/>
      <c r="E9" s="7">
        <v>22385855.790693041</v>
      </c>
      <c r="F9" s="8" t="s">
        <v>3</v>
      </c>
      <c r="G9" s="1"/>
    </row>
    <row r="10" spans="1:7" ht="15" customHeight="1" x14ac:dyDescent="0.25">
      <c r="A10" s="1"/>
      <c r="B10" s="109" t="s">
        <v>35</v>
      </c>
      <c r="C10" s="110"/>
      <c r="D10" s="111"/>
      <c r="E10" s="9">
        <v>1105431.9268</v>
      </c>
      <c r="F10" s="8" t="s">
        <v>3</v>
      </c>
      <c r="G10" s="1"/>
    </row>
    <row r="11" spans="1:7" ht="15" customHeight="1" x14ac:dyDescent="0.25">
      <c r="A11" s="1"/>
      <c r="B11" s="109" t="s">
        <v>36</v>
      </c>
      <c r="C11" s="110"/>
      <c r="D11" s="111"/>
      <c r="E11" s="9">
        <v>86595.826300000001</v>
      </c>
      <c r="F11" s="8" t="s">
        <v>3</v>
      </c>
      <c r="G11" s="1"/>
    </row>
    <row r="12" spans="1:7" x14ac:dyDescent="0.25">
      <c r="A12" s="1"/>
      <c r="B12" s="109" t="s">
        <v>26</v>
      </c>
      <c r="C12" s="110"/>
      <c r="D12" s="111"/>
      <c r="E12" s="9">
        <v>0</v>
      </c>
      <c r="F12" s="8" t="s">
        <v>3</v>
      </c>
      <c r="G12" s="1"/>
    </row>
    <row r="13" spans="1:7" x14ac:dyDescent="0.25">
      <c r="A13" s="1"/>
      <c r="B13" s="109" t="s">
        <v>25</v>
      </c>
      <c r="C13" s="110"/>
      <c r="D13" s="111"/>
      <c r="E13" s="9">
        <v>0</v>
      </c>
      <c r="F13" s="8" t="s">
        <v>3</v>
      </c>
      <c r="G13" s="1"/>
    </row>
    <row r="14" spans="1:7" x14ac:dyDescent="0.25">
      <c r="A14" s="1"/>
      <c r="B14" s="109" t="s">
        <v>114</v>
      </c>
      <c r="C14" s="110"/>
      <c r="D14" s="111"/>
      <c r="E14" s="9">
        <v>0</v>
      </c>
      <c r="F14" s="8" t="s">
        <v>3</v>
      </c>
      <c r="G14" s="1"/>
    </row>
    <row r="15" spans="1:7" x14ac:dyDescent="0.25">
      <c r="A15" s="1"/>
      <c r="B15" s="109" t="s">
        <v>115</v>
      </c>
      <c r="C15" s="110"/>
      <c r="D15" s="111"/>
      <c r="E15" s="9">
        <v>0</v>
      </c>
      <c r="F15" s="8" t="s">
        <v>3</v>
      </c>
      <c r="G15" s="1"/>
    </row>
    <row r="16" spans="1:7" x14ac:dyDescent="0.25">
      <c r="A16" s="1"/>
      <c r="B16" s="109" t="s">
        <v>17</v>
      </c>
      <c r="C16" s="110"/>
      <c r="D16" s="111"/>
      <c r="E16" s="9">
        <v>277041.13223168516</v>
      </c>
      <c r="F16" s="8" t="s">
        <v>3</v>
      </c>
      <c r="G16" s="30"/>
    </row>
    <row r="17" spans="1:7" x14ac:dyDescent="0.25">
      <c r="A17" s="1"/>
      <c r="B17" s="109" t="s">
        <v>9</v>
      </c>
      <c r="C17" s="110"/>
      <c r="D17" s="111"/>
      <c r="E17" s="9">
        <v>-477098.49352049455</v>
      </c>
      <c r="F17" s="8" t="s">
        <v>3</v>
      </c>
      <c r="G17" s="1"/>
    </row>
    <row r="18" spans="1:7" x14ac:dyDescent="0.25">
      <c r="A18" s="1"/>
      <c r="B18" s="109" t="s">
        <v>23</v>
      </c>
      <c r="C18" s="110"/>
      <c r="D18" s="111"/>
      <c r="E18" s="9">
        <v>-217602.52852119843</v>
      </c>
      <c r="F18" s="8" t="s">
        <v>3</v>
      </c>
      <c r="G18" s="1"/>
    </row>
    <row r="19" spans="1:7" x14ac:dyDescent="0.25">
      <c r="A19" s="1"/>
      <c r="B19" s="109" t="s">
        <v>24</v>
      </c>
      <c r="C19" s="110"/>
      <c r="D19" s="111"/>
      <c r="E19" s="9">
        <v>-391218.23460042779</v>
      </c>
      <c r="F19" s="8" t="s">
        <v>3</v>
      </c>
      <c r="G19" s="1"/>
    </row>
    <row r="20" spans="1:7" x14ac:dyDescent="0.25">
      <c r="A20" s="1"/>
      <c r="B20" s="122" t="s">
        <v>19</v>
      </c>
      <c r="C20" s="123"/>
      <c r="D20" s="124"/>
      <c r="E20" s="31">
        <f>SUM(E9:E19)</f>
        <v>22769005.419382606</v>
      </c>
      <c r="F20" s="34" t="s">
        <v>3</v>
      </c>
      <c r="G20" s="1"/>
    </row>
    <row r="21" spans="1:7" x14ac:dyDescent="0.25">
      <c r="A21" s="1"/>
      <c r="B21" s="82" t="s">
        <v>11</v>
      </c>
      <c r="C21" s="83"/>
      <c r="D21" s="83"/>
      <c r="E21" s="83"/>
      <c r="F21" s="19"/>
      <c r="G21" s="1"/>
    </row>
    <row r="22" spans="1:7" x14ac:dyDescent="0.25">
      <c r="A22" s="1"/>
      <c r="B22" s="112" t="s">
        <v>11</v>
      </c>
      <c r="C22" s="113"/>
      <c r="D22" s="114"/>
      <c r="E22" s="10">
        <v>10846269.584352931</v>
      </c>
      <c r="F22" s="11" t="s">
        <v>3</v>
      </c>
      <c r="G22" s="1"/>
    </row>
    <row r="23" spans="1:7" ht="15" customHeight="1" x14ac:dyDescent="0.25">
      <c r="A23" s="1"/>
      <c r="B23" s="128" t="s">
        <v>80</v>
      </c>
      <c r="C23" s="129"/>
      <c r="D23" s="129"/>
      <c r="E23" s="83"/>
      <c r="F23" s="19"/>
      <c r="G23" s="1"/>
    </row>
    <row r="24" spans="1:7" ht="14.25" customHeight="1" x14ac:dyDescent="0.25">
      <c r="A24" s="1"/>
      <c r="B24" s="119" t="s">
        <v>76</v>
      </c>
      <c r="C24" s="120"/>
      <c r="D24" s="121"/>
      <c r="E24" s="9">
        <v>0</v>
      </c>
      <c r="F24" s="8" t="s">
        <v>3</v>
      </c>
      <c r="G24" s="1"/>
    </row>
    <row r="25" spans="1:7" ht="14.25" customHeight="1" x14ac:dyDescent="0.25">
      <c r="A25" s="1"/>
      <c r="B25" s="119" t="s">
        <v>77</v>
      </c>
      <c r="C25" s="120"/>
      <c r="D25" s="121"/>
      <c r="E25" s="9">
        <v>0</v>
      </c>
      <c r="F25" s="8" t="s">
        <v>3</v>
      </c>
      <c r="G25" s="1"/>
    </row>
    <row r="26" spans="1:7" x14ac:dyDescent="0.25">
      <c r="A26" s="1"/>
      <c r="B26" s="125" t="s">
        <v>81</v>
      </c>
      <c r="C26" s="126"/>
      <c r="D26" s="126"/>
      <c r="E26" s="10">
        <v>0</v>
      </c>
      <c r="F26" s="11" t="s">
        <v>3</v>
      </c>
      <c r="G26" s="1"/>
    </row>
    <row r="27" spans="1:7" x14ac:dyDescent="0.25">
      <c r="A27" s="1"/>
      <c r="B27" s="82" t="s">
        <v>128</v>
      </c>
      <c r="C27" s="83"/>
      <c r="D27" s="83"/>
      <c r="E27" s="83"/>
      <c r="F27" s="19"/>
      <c r="G27" s="1"/>
    </row>
    <row r="28" spans="1:7" ht="15" customHeight="1" x14ac:dyDescent="0.25">
      <c r="A28" s="1"/>
      <c r="B28" s="125" t="s">
        <v>129</v>
      </c>
      <c r="C28" s="126"/>
      <c r="D28" s="127"/>
      <c r="E28" s="10">
        <v>0</v>
      </c>
      <c r="F28" s="11" t="s">
        <v>3</v>
      </c>
      <c r="G28" s="1"/>
    </row>
    <row r="29" spans="1:7" x14ac:dyDescent="0.25">
      <c r="A29" s="1"/>
      <c r="B29" s="82" t="s">
        <v>159</v>
      </c>
      <c r="C29" s="83"/>
      <c r="D29" s="83"/>
      <c r="E29" s="83"/>
      <c r="F29" s="19"/>
      <c r="G29" s="1"/>
    </row>
    <row r="30" spans="1:7" ht="15.75" customHeight="1" x14ac:dyDescent="0.25">
      <c r="A30" s="1"/>
      <c r="B30" s="112" t="s">
        <v>160</v>
      </c>
      <c r="C30" s="113"/>
      <c r="D30" s="114"/>
      <c r="E30" s="10">
        <v>0</v>
      </c>
      <c r="F30" s="11" t="s">
        <v>3</v>
      </c>
      <c r="G30" s="1"/>
    </row>
    <row r="31" spans="1:7" ht="15.75" customHeight="1" x14ac:dyDescent="0.25">
      <c r="A31" s="1"/>
      <c r="B31" s="130" t="s">
        <v>153</v>
      </c>
      <c r="C31" s="131"/>
      <c r="D31" s="131"/>
      <c r="E31" s="131"/>
      <c r="F31" s="132"/>
      <c r="G31" s="1"/>
    </row>
    <row r="32" spans="1:7" ht="15.75" customHeight="1" x14ac:dyDescent="0.25">
      <c r="A32" s="1"/>
      <c r="B32" s="87" t="s">
        <v>154</v>
      </c>
      <c r="C32" s="10"/>
      <c r="D32" s="11"/>
      <c r="E32" s="10">
        <f>'Fane 8. Skattesagen'!G11</f>
        <v>0</v>
      </c>
      <c r="F32" s="11" t="s">
        <v>3</v>
      </c>
      <c r="G32" s="1"/>
    </row>
    <row r="33" spans="1:7" x14ac:dyDescent="0.25">
      <c r="A33" s="1"/>
      <c r="B33" s="35" t="s">
        <v>27</v>
      </c>
      <c r="C33" s="38"/>
      <c r="D33" s="38"/>
      <c r="E33" s="32">
        <f>E20+E22+E26+E28+E30+E32</f>
        <v>33615275.003735535</v>
      </c>
      <c r="F33" s="37" t="s">
        <v>3</v>
      </c>
      <c r="G33" s="1"/>
    </row>
    <row r="34" spans="1:7" ht="27.75" customHeight="1" x14ac:dyDescent="0.25">
      <c r="A34" s="1"/>
      <c r="B34" s="119" t="s">
        <v>173</v>
      </c>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iylzk4lXbzVIGAb90hgMqO/fYtTyUtbpUJtvI4sg3hgLwhiBbPyrCF/KRZaD3DZ5i8KBRlcnyh2KbMwpQm1wA==" saltValue="nQzJyuKUnKqLAeY3sZmtS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3.7109375" style="2" customWidth="1"/>
    <col min="2" max="5" width="9" style="2"/>
    <col min="6" max="6" width="24.7109375" style="2" customWidth="1"/>
    <col min="7" max="7" width="13.28515625" style="43" customWidth="1"/>
    <col min="8" max="9" width="3.7109375" style="2" customWidth="1"/>
    <col min="10" max="16384" width="9" style="2"/>
  </cols>
  <sheetData>
    <row r="1" spans="1:9" ht="15" customHeight="1" x14ac:dyDescent="0.25">
      <c r="A1" s="1"/>
      <c r="B1" s="115" t="s">
        <v>98</v>
      </c>
      <c r="C1" s="115"/>
      <c r="D1" s="115"/>
      <c r="E1" s="115"/>
      <c r="F1" s="115"/>
      <c r="G1" s="115"/>
      <c r="H1" s="115"/>
      <c r="I1" s="1"/>
    </row>
    <row r="2" spans="1:9" ht="15" customHeight="1" x14ac:dyDescent="0.25">
      <c r="A2" s="1"/>
      <c r="B2" s="115"/>
      <c r="C2" s="115"/>
      <c r="D2" s="115"/>
      <c r="E2" s="115"/>
      <c r="F2" s="115"/>
      <c r="G2" s="115"/>
      <c r="H2" s="115"/>
      <c r="I2" s="1"/>
    </row>
    <row r="3" spans="1:9" ht="15" customHeight="1" x14ac:dyDescent="0.25">
      <c r="A3" s="1"/>
      <c r="B3" s="115"/>
      <c r="C3" s="115"/>
      <c r="D3" s="115"/>
      <c r="E3" s="115"/>
      <c r="F3" s="115"/>
      <c r="G3" s="115"/>
      <c r="H3" s="115"/>
      <c r="I3" s="1"/>
    </row>
    <row r="4" spans="1:9" x14ac:dyDescent="0.25">
      <c r="A4" s="1"/>
      <c r="B4" s="130" t="s">
        <v>49</v>
      </c>
      <c r="C4" s="131"/>
      <c r="D4" s="131"/>
      <c r="E4" s="131"/>
      <c r="F4" s="131"/>
      <c r="G4" s="131"/>
      <c r="H4" s="132"/>
      <c r="I4" s="1"/>
    </row>
    <row r="5" spans="1:9" x14ac:dyDescent="0.25">
      <c r="A5" s="1"/>
      <c r="B5" s="133" t="s">
        <v>38</v>
      </c>
      <c r="C5" s="134"/>
      <c r="D5" s="134"/>
      <c r="E5" s="134"/>
      <c r="F5" s="135"/>
      <c r="G5" s="58">
        <v>9169487.8792452477</v>
      </c>
      <c r="H5" s="14" t="s">
        <v>3</v>
      </c>
      <c r="I5" s="1"/>
    </row>
    <row r="6" spans="1:9" x14ac:dyDescent="0.25">
      <c r="A6" s="1"/>
      <c r="B6" s="133" t="s">
        <v>39</v>
      </c>
      <c r="C6" s="134"/>
      <c r="D6" s="134"/>
      <c r="E6" s="134"/>
      <c r="F6" s="135"/>
      <c r="G6" s="58">
        <f>G5*'Fane 13. Nøgletal'!C31</f>
        <v>183389.75758490496</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30" t="s">
        <v>50</v>
      </c>
      <c r="C9" s="131"/>
      <c r="D9" s="131"/>
      <c r="E9" s="131"/>
      <c r="F9" s="131"/>
      <c r="G9" s="136"/>
      <c r="H9" s="132"/>
      <c r="I9" s="1"/>
    </row>
    <row r="10" spans="1:9" x14ac:dyDescent="0.25">
      <c r="A10" s="1"/>
      <c r="B10" s="133" t="s">
        <v>40</v>
      </c>
      <c r="C10" s="134"/>
      <c r="D10" s="134"/>
      <c r="E10" s="134"/>
      <c r="F10" s="135"/>
      <c r="G10" s="58">
        <f>(G5-G6)*(1+'Fane 13. Nøgletal'!C9)</f>
        <v>9100221.5678054281</v>
      </c>
      <c r="H10" s="14" t="s">
        <v>3</v>
      </c>
      <c r="I10" s="1"/>
    </row>
    <row r="11" spans="1:9" x14ac:dyDescent="0.25">
      <c r="A11" s="1"/>
      <c r="B11" s="137" t="s">
        <v>41</v>
      </c>
      <c r="C11" s="138"/>
      <c r="D11" s="138"/>
      <c r="E11" s="138"/>
      <c r="F11" s="139"/>
      <c r="G11" s="58">
        <v>0</v>
      </c>
      <c r="H11" s="14" t="s">
        <v>3</v>
      </c>
      <c r="I11" s="1"/>
    </row>
    <row r="12" spans="1:9" x14ac:dyDescent="0.25">
      <c r="A12" s="1"/>
      <c r="B12" s="133" t="s">
        <v>42</v>
      </c>
      <c r="C12" s="134"/>
      <c r="D12" s="134"/>
      <c r="E12" s="134"/>
      <c r="F12" s="135"/>
      <c r="G12" s="58">
        <f>(G10+G11)*'Fane 13. Nøgletal'!C31</f>
        <v>182004.43135610857</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30" t="s">
        <v>51</v>
      </c>
      <c r="C15" s="131"/>
      <c r="D15" s="131"/>
      <c r="E15" s="131"/>
      <c r="F15" s="131"/>
      <c r="G15" s="136"/>
      <c r="H15" s="132"/>
      <c r="I15" s="1"/>
    </row>
    <row r="16" spans="1:9" x14ac:dyDescent="0.25">
      <c r="A16" s="1"/>
      <c r="B16" s="133" t="s">
        <v>43</v>
      </c>
      <c r="C16" s="134"/>
      <c r="D16" s="134"/>
      <c r="E16" s="134"/>
      <c r="F16" s="135"/>
      <c r="G16" s="58">
        <f>(G10+G11-G12)*(1+'Fane 13. Nøgletal'!C11)</f>
        <v>9068935.0060553122</v>
      </c>
      <c r="H16" s="14" t="s">
        <v>3</v>
      </c>
      <c r="I16" s="1"/>
    </row>
    <row r="17" spans="1:9" x14ac:dyDescent="0.25">
      <c r="A17" s="1"/>
      <c r="B17" s="133" t="s">
        <v>108</v>
      </c>
      <c r="C17" s="134"/>
      <c r="D17" s="134"/>
      <c r="E17" s="134"/>
      <c r="F17" s="135"/>
      <c r="G17" s="58">
        <v>-16691.825071318628</v>
      </c>
      <c r="H17" s="14" t="s">
        <v>3</v>
      </c>
      <c r="I17" s="1"/>
    </row>
    <row r="18" spans="1:9" x14ac:dyDescent="0.25">
      <c r="A18" s="1"/>
      <c r="B18" s="137" t="s">
        <v>44</v>
      </c>
      <c r="C18" s="138"/>
      <c r="D18" s="138"/>
      <c r="E18" s="138"/>
      <c r="F18" s="139"/>
      <c r="G18" s="58">
        <v>0</v>
      </c>
      <c r="H18" s="14" t="s">
        <v>3</v>
      </c>
      <c r="I18" s="1"/>
    </row>
    <row r="19" spans="1:9" x14ac:dyDescent="0.25">
      <c r="A19" s="1"/>
      <c r="B19" s="133" t="s">
        <v>45</v>
      </c>
      <c r="C19" s="134"/>
      <c r="D19" s="134"/>
      <c r="E19" s="134"/>
      <c r="F19" s="135"/>
      <c r="G19" s="58">
        <f>SUM(G16:G18)*'Fane 13. Nøgletal'!C31</f>
        <v>181044.86361967988</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30" t="s">
        <v>52</v>
      </c>
      <c r="C22" s="131"/>
      <c r="D22" s="131"/>
      <c r="E22" s="131"/>
      <c r="F22" s="131"/>
      <c r="G22" s="136"/>
      <c r="H22" s="132"/>
      <c r="I22" s="1"/>
    </row>
    <row r="23" spans="1:9" x14ac:dyDescent="0.25">
      <c r="A23" s="1"/>
      <c r="B23" s="133" t="s">
        <v>46</v>
      </c>
      <c r="C23" s="134"/>
      <c r="D23" s="134"/>
      <c r="E23" s="134"/>
      <c r="F23" s="135"/>
      <c r="G23" s="58">
        <f>(SUM(G16:G18)-G19)*(1+'Fane 13. Nøgletal'!C11)</f>
        <v>9021121.5689277705</v>
      </c>
      <c r="H23" s="14" t="s">
        <v>3</v>
      </c>
      <c r="I23" s="1"/>
    </row>
    <row r="24" spans="1:9" x14ac:dyDescent="0.25">
      <c r="A24" s="1"/>
      <c r="B24" s="137" t="s">
        <v>47</v>
      </c>
      <c r="C24" s="138"/>
      <c r="D24" s="138"/>
      <c r="E24" s="138"/>
      <c r="F24" s="139"/>
      <c r="G24" s="58">
        <v>133510.87033218</v>
      </c>
      <c r="H24" s="14" t="s">
        <v>3</v>
      </c>
      <c r="I24" s="1"/>
    </row>
    <row r="25" spans="1:9" x14ac:dyDescent="0.25">
      <c r="A25" s="1"/>
      <c r="B25" s="133" t="s">
        <v>48</v>
      </c>
      <c r="C25" s="134"/>
      <c r="D25" s="134"/>
      <c r="E25" s="134"/>
      <c r="F25" s="135"/>
      <c r="G25" s="58">
        <f>(G23+G24)*'Fane 13. Nøgletal'!C31</f>
        <v>183092.64878519901</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30" t="s">
        <v>132</v>
      </c>
      <c r="C28" s="131"/>
      <c r="D28" s="131"/>
      <c r="E28" s="131"/>
      <c r="F28" s="131"/>
      <c r="G28" s="136"/>
      <c r="H28" s="132"/>
      <c r="I28" s="1"/>
    </row>
    <row r="29" spans="1:9" x14ac:dyDescent="0.25">
      <c r="A29" s="1"/>
      <c r="B29" s="133" t="s">
        <v>55</v>
      </c>
      <c r="C29" s="134"/>
      <c r="D29" s="134"/>
      <c r="E29" s="134"/>
      <c r="F29" s="135"/>
      <c r="G29" s="58">
        <f>(G23+G24-G25)*(1+'Fane 13. Nøgletal'!C13)</f>
        <v>9080992.5759185441</v>
      </c>
      <c r="H29" s="14" t="s">
        <v>3</v>
      </c>
      <c r="I29" s="1"/>
    </row>
    <row r="30" spans="1:9" x14ac:dyDescent="0.25">
      <c r="A30" s="1"/>
      <c r="B30" s="133" t="s">
        <v>121</v>
      </c>
      <c r="C30" s="134"/>
      <c r="D30" s="134"/>
      <c r="E30" s="134"/>
      <c r="F30" s="135"/>
      <c r="G30" s="58">
        <v>769289.66835587996</v>
      </c>
      <c r="H30" s="14" t="s">
        <v>3</v>
      </c>
      <c r="I30" s="1"/>
    </row>
    <row r="31" spans="1:9" x14ac:dyDescent="0.25">
      <c r="A31" s="1"/>
      <c r="B31" s="133" t="s">
        <v>126</v>
      </c>
      <c r="C31" s="134"/>
      <c r="D31" s="134"/>
      <c r="E31" s="134"/>
      <c r="F31" s="135"/>
      <c r="G31" s="58">
        <f>(G29+G30)*'Fane 13. Nøgletal'!C31</f>
        <v>197005.64488548849</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30" t="s">
        <v>133</v>
      </c>
      <c r="C34" s="131"/>
      <c r="D34" s="131"/>
      <c r="E34" s="131"/>
      <c r="F34" s="131"/>
      <c r="G34" s="136"/>
      <c r="H34" s="132"/>
      <c r="I34" s="1"/>
    </row>
    <row r="35" spans="1:9" x14ac:dyDescent="0.25">
      <c r="A35" s="1"/>
      <c r="B35" s="133" t="s">
        <v>74</v>
      </c>
      <c r="C35" s="134"/>
      <c r="D35" s="134"/>
      <c r="E35" s="134"/>
      <c r="F35" s="135"/>
      <c r="G35" s="58">
        <f>(G29+G30-G31)*(1+'Fane 13. Nøgletal'!C13)</f>
        <v>9771046.5739014819</v>
      </c>
      <c r="H35" s="14" t="s">
        <v>3</v>
      </c>
      <c r="I35" s="1"/>
    </row>
    <row r="36" spans="1:9" x14ac:dyDescent="0.25">
      <c r="A36" s="1"/>
      <c r="B36" s="133" t="s">
        <v>152</v>
      </c>
      <c r="C36" s="134"/>
      <c r="D36" s="134"/>
      <c r="E36" s="134"/>
      <c r="F36" s="135"/>
      <c r="G36" s="58">
        <f>('Fane 3. Omkostninger i ØR2022'!E10+'Fane 3. Omkostninger i ØR2022'!E12+'Fane 3. Omkostninger i ØR2022'!E14)*(1+'Fane 13. Nøgletal'!C14)</f>
        <v>1109079.85215844</v>
      </c>
      <c r="H36" s="14" t="s">
        <v>3</v>
      </c>
      <c r="I36" s="1"/>
    </row>
    <row r="37" spans="1:9" x14ac:dyDescent="0.25">
      <c r="A37" s="1"/>
      <c r="B37" s="133" t="s">
        <v>134</v>
      </c>
      <c r="C37" s="134"/>
      <c r="D37" s="134"/>
      <c r="E37" s="134"/>
      <c r="F37" s="135"/>
      <c r="G37" s="58">
        <f>(G35+G36)*'Fane 13. Nøgletal'!C31</f>
        <v>217602.52852119846</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30" t="s">
        <v>198</v>
      </c>
      <c r="C40" s="131"/>
      <c r="D40" s="131"/>
      <c r="E40" s="131"/>
      <c r="F40" s="131"/>
      <c r="G40" s="136"/>
      <c r="H40" s="132"/>
      <c r="I40" s="1"/>
    </row>
    <row r="41" spans="1:9" x14ac:dyDescent="0.25">
      <c r="A41" s="1"/>
      <c r="B41" s="133" t="s">
        <v>73</v>
      </c>
      <c r="C41" s="134"/>
      <c r="D41" s="134"/>
      <c r="E41" s="134"/>
      <c r="F41" s="135"/>
      <c r="G41" s="58">
        <f>(G35+G36-G37)*(1+'Fane 13. Nøgletal'!C15)</f>
        <v>11042109.748291103</v>
      </c>
      <c r="H41" s="14" t="s">
        <v>3</v>
      </c>
      <c r="I41" s="1"/>
    </row>
    <row r="42" spans="1:9" x14ac:dyDescent="0.25">
      <c r="A42" s="1"/>
      <c r="B42" s="133" t="s">
        <v>197</v>
      </c>
      <c r="C42" s="134"/>
      <c r="D42" s="134"/>
      <c r="E42" s="134"/>
      <c r="F42" s="135"/>
      <c r="G42" s="58">
        <f>('Fane 2.1. Økonomisk ramme 2023'!C9+'Fane 2.1. Økonomisk ramme 2023'!C11+'Fane 2.1. Økonomisk ramme 2023'!C13)*(1+'Fane 13. Nøgletal'!C15)</f>
        <v>138671.10211536003</v>
      </c>
      <c r="H42" s="14" t="s">
        <v>3</v>
      </c>
      <c r="I42" s="1"/>
    </row>
    <row r="43" spans="1:9" x14ac:dyDescent="0.25">
      <c r="A43" s="1"/>
      <c r="B43" s="133" t="s">
        <v>208</v>
      </c>
      <c r="C43" s="134"/>
      <c r="D43" s="134"/>
      <c r="E43" s="134"/>
      <c r="F43" s="135"/>
      <c r="G43" s="58">
        <f>(G41+G42)*'Fane 13. Nøgletal'!C31</f>
        <v>223615.61700812925</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30" t="s">
        <v>199</v>
      </c>
      <c r="C46" s="131"/>
      <c r="D46" s="131"/>
      <c r="E46" s="131"/>
      <c r="F46" s="131"/>
      <c r="G46" s="136"/>
      <c r="H46" s="132"/>
      <c r="I46" s="1"/>
    </row>
    <row r="47" spans="1:9" x14ac:dyDescent="0.25">
      <c r="A47" s="1"/>
      <c r="B47" s="133" t="s">
        <v>122</v>
      </c>
      <c r="C47" s="134"/>
      <c r="D47" s="134"/>
      <c r="E47" s="134"/>
      <c r="F47" s="135"/>
      <c r="G47" s="58">
        <f>(G41+G42-G43)*(1+'Fane 13. Nøgletal'!C15)</f>
        <v>11347240.315707315</v>
      </c>
      <c r="H47" s="14" t="s">
        <v>3</v>
      </c>
      <c r="I47" s="1"/>
    </row>
    <row r="48" spans="1:9" x14ac:dyDescent="0.25">
      <c r="A48" s="1"/>
      <c r="B48" s="133" t="s">
        <v>209</v>
      </c>
      <c r="C48" s="134"/>
      <c r="D48" s="134"/>
      <c r="E48" s="134"/>
      <c r="F48" s="135"/>
      <c r="G48" s="58">
        <f>(G47)*'Fane 13. Nøgletal'!C31</f>
        <v>226944.80631414629</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30" t="s">
        <v>145</v>
      </c>
      <c r="C51" s="131"/>
      <c r="D51" s="131"/>
      <c r="E51" s="131"/>
      <c r="F51" s="131"/>
      <c r="G51" s="136"/>
      <c r="H51" s="132"/>
      <c r="I51" s="1"/>
    </row>
    <row r="52" spans="1:9" x14ac:dyDescent="0.25">
      <c r="A52" s="1"/>
      <c r="B52" s="133" t="s">
        <v>146</v>
      </c>
      <c r="C52" s="134"/>
      <c r="D52" s="134"/>
      <c r="E52" s="134"/>
      <c r="F52" s="135"/>
      <c r="G52" s="58">
        <f>(G47-G48)*(1+'Fane 13. Nøgletal'!C15)</f>
        <v>11516178.029527565</v>
      </c>
      <c r="H52" s="14" t="s">
        <v>3</v>
      </c>
      <c r="I52" s="1"/>
    </row>
    <row r="53" spans="1:9" x14ac:dyDescent="0.25">
      <c r="A53" s="1"/>
      <c r="B53" s="133" t="s">
        <v>147</v>
      </c>
      <c r="C53" s="134"/>
      <c r="D53" s="134"/>
      <c r="E53" s="134"/>
      <c r="F53" s="135"/>
      <c r="G53" s="58">
        <f>(G52)*'Fane 13. Nøgletal'!C31</f>
        <v>230323.56059055132</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30" t="s">
        <v>174</v>
      </c>
      <c r="C56" s="131"/>
      <c r="D56" s="131"/>
      <c r="E56" s="131"/>
      <c r="F56" s="131"/>
      <c r="G56" s="136"/>
      <c r="H56" s="132"/>
      <c r="I56" s="1"/>
    </row>
    <row r="57" spans="1:9" x14ac:dyDescent="0.25">
      <c r="A57" s="1"/>
      <c r="B57" s="133" t="s">
        <v>175</v>
      </c>
      <c r="C57" s="134"/>
      <c r="D57" s="134"/>
      <c r="E57" s="134"/>
      <c r="F57" s="135"/>
      <c r="G57" s="58">
        <f>(G52-G53)*(1+'Fane 13. Nøgletal'!C15)</f>
        <v>11687630.888031172</v>
      </c>
      <c r="H57" s="14" t="s">
        <v>3</v>
      </c>
      <c r="I57" s="1"/>
    </row>
    <row r="58" spans="1:9" x14ac:dyDescent="0.25">
      <c r="A58" s="1"/>
      <c r="B58" s="133" t="s">
        <v>176</v>
      </c>
      <c r="C58" s="134"/>
      <c r="D58" s="134"/>
      <c r="E58" s="134"/>
      <c r="F58" s="135"/>
      <c r="G58" s="58">
        <f>(G57)*'Fane 13. Nøgletal'!C31</f>
        <v>233752.61776062343</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4Vx3CwYGHTxHYN42FYWSwFWO3Y7k4U1JgYc5DEfX7zN0a8oh16dEmP6WwWnqWRpf97tRLsxT4Wu8KPyrUR8fAA==" saltValue="unU5fT2TKEFoo2qzPDBxgg=="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3.42578125" style="2" customWidth="1"/>
    <col min="2" max="5" width="9" style="2"/>
    <col min="6" max="6" width="28" style="2" customWidth="1"/>
    <col min="7" max="7" width="10.28515625" style="2" customWidth="1"/>
    <col min="8" max="8" width="2.85546875" style="2" bestFit="1" customWidth="1"/>
    <col min="9" max="9" width="3.85546875" style="2" customWidth="1"/>
    <col min="10" max="16384" width="9" style="2"/>
  </cols>
  <sheetData>
    <row r="1" spans="1:9" x14ac:dyDescent="0.25">
      <c r="A1" s="1"/>
      <c r="B1" s="140" t="s">
        <v>99</v>
      </c>
      <c r="C1" s="141"/>
      <c r="D1" s="141"/>
      <c r="E1" s="141"/>
      <c r="F1" s="141"/>
      <c r="G1" s="141"/>
      <c r="H1" s="141"/>
      <c r="I1" s="1"/>
    </row>
    <row r="2" spans="1:9" ht="19.899999999999999"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30" t="s">
        <v>53</v>
      </c>
      <c r="C4" s="131"/>
      <c r="D4" s="131"/>
      <c r="E4" s="131"/>
      <c r="F4" s="131"/>
      <c r="G4" s="131"/>
      <c r="H4" s="132"/>
      <c r="I4" s="1"/>
    </row>
    <row r="5" spans="1:9" x14ac:dyDescent="0.25">
      <c r="A5" s="1"/>
      <c r="B5" s="133" t="s">
        <v>56</v>
      </c>
      <c r="C5" s="134"/>
      <c r="D5" s="134"/>
      <c r="E5" s="134"/>
      <c r="F5" s="135"/>
      <c r="G5" s="58">
        <v>12941210.375506559</v>
      </c>
      <c r="H5" s="14" t="s">
        <v>3</v>
      </c>
      <c r="I5" s="1"/>
    </row>
    <row r="6" spans="1:9" x14ac:dyDescent="0.25">
      <c r="A6" s="1"/>
      <c r="B6" s="133" t="s">
        <v>54</v>
      </c>
      <c r="C6" s="134"/>
      <c r="D6" s="134"/>
      <c r="E6" s="134"/>
      <c r="F6" s="135"/>
      <c r="G6" s="58">
        <f>G5*'Fane 13. Nøgletal'!C20</f>
        <v>117765.01441710969</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30" t="s">
        <v>57</v>
      </c>
      <c r="C9" s="131"/>
      <c r="D9" s="131"/>
      <c r="E9" s="131"/>
      <c r="F9" s="131"/>
      <c r="G9" s="136"/>
      <c r="H9" s="132"/>
      <c r="I9" s="1"/>
    </row>
    <row r="10" spans="1:9" x14ac:dyDescent="0.25">
      <c r="A10" s="1"/>
      <c r="B10" s="133" t="s">
        <v>58</v>
      </c>
      <c r="C10" s="134"/>
      <c r="D10" s="134"/>
      <c r="E10" s="134"/>
      <c r="F10" s="135"/>
      <c r="G10" s="58">
        <f>(G5-G6)*(1+'Fane 13. Nøgletal'!C9)</f>
        <v>12986303.117175285</v>
      </c>
      <c r="H10" s="14" t="s">
        <v>3</v>
      </c>
      <c r="I10" s="1"/>
    </row>
    <row r="11" spans="1:9" x14ac:dyDescent="0.25">
      <c r="A11" s="1"/>
      <c r="B11" s="137" t="s">
        <v>59</v>
      </c>
      <c r="C11" s="138"/>
      <c r="D11" s="138"/>
      <c r="E11" s="138"/>
      <c r="F11" s="139"/>
      <c r="G11" s="63">
        <v>0</v>
      </c>
      <c r="H11" s="14" t="s">
        <v>3</v>
      </c>
      <c r="I11" s="1"/>
    </row>
    <row r="12" spans="1:9" x14ac:dyDescent="0.25">
      <c r="A12" s="1"/>
      <c r="B12" s="133" t="s">
        <v>60</v>
      </c>
      <c r="C12" s="134"/>
      <c r="D12" s="134"/>
      <c r="E12" s="134"/>
      <c r="F12" s="135"/>
      <c r="G12" s="58">
        <f>G10*'Fane 13. Nøgletal'!C20+G11*'Fane 13. Nøgletal'!C21</f>
        <v>118175.3583662951</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30" t="s">
        <v>61</v>
      </c>
      <c r="C15" s="131"/>
      <c r="D15" s="131"/>
      <c r="E15" s="131"/>
      <c r="F15" s="131"/>
      <c r="G15" s="136"/>
      <c r="H15" s="132"/>
      <c r="I15" s="1"/>
    </row>
    <row r="16" spans="1:9" x14ac:dyDescent="0.25">
      <c r="A16" s="1"/>
      <c r="B16" s="133" t="s">
        <v>62</v>
      </c>
      <c r="C16" s="134"/>
      <c r="D16" s="134"/>
      <c r="E16" s="134"/>
      <c r="F16" s="135"/>
      <c r="G16" s="58">
        <f>(G10+G11-G12)*(1+'Fane 13. Nøgletal'!C11)</f>
        <v>13085599.11793286</v>
      </c>
      <c r="H16" s="14" t="s">
        <v>3</v>
      </c>
      <c r="I16" s="1"/>
    </row>
    <row r="17" spans="1:9" x14ac:dyDescent="0.25">
      <c r="A17" s="1"/>
      <c r="B17" s="133" t="s">
        <v>109</v>
      </c>
      <c r="C17" s="134"/>
      <c r="D17" s="134"/>
      <c r="E17" s="134"/>
      <c r="F17" s="135"/>
      <c r="G17" s="58">
        <v>-69148.200792945747</v>
      </c>
      <c r="H17" s="14" t="s">
        <v>3</v>
      </c>
      <c r="I17" s="1"/>
    </row>
    <row r="18" spans="1:9" x14ac:dyDescent="0.25">
      <c r="A18" s="1"/>
      <c r="B18" s="137" t="s">
        <v>63</v>
      </c>
      <c r="C18" s="138"/>
      <c r="D18" s="138"/>
      <c r="E18" s="138"/>
      <c r="F18" s="139"/>
      <c r="G18" s="58">
        <v>150503.97171021733</v>
      </c>
      <c r="H18" s="14" t="s">
        <v>3</v>
      </c>
      <c r="I18" s="1"/>
    </row>
    <row r="19" spans="1:9" x14ac:dyDescent="0.25">
      <c r="A19" s="1"/>
      <c r="B19" s="133" t="s">
        <v>64</v>
      </c>
      <c r="C19" s="134"/>
      <c r="D19" s="134"/>
      <c r="E19" s="134"/>
      <c r="F19" s="135"/>
      <c r="G19" s="58">
        <f>(G16+G17+G18)*'Fane 13. Nøgletal'!C22</f>
        <v>114552.50753299614</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30" t="s">
        <v>65</v>
      </c>
      <c r="C22" s="131"/>
      <c r="D22" s="131"/>
      <c r="E22" s="131"/>
      <c r="F22" s="131"/>
      <c r="G22" s="136"/>
      <c r="H22" s="132"/>
      <c r="I22" s="1"/>
    </row>
    <row r="23" spans="1:9" x14ac:dyDescent="0.25">
      <c r="A23" s="1"/>
      <c r="B23" s="133" t="s">
        <v>66</v>
      </c>
      <c r="C23" s="134"/>
      <c r="D23" s="134"/>
      <c r="E23" s="134"/>
      <c r="F23" s="135"/>
      <c r="G23" s="58">
        <f>(SUM(G16:G18)-G19)*(1+'Fane 13. Nøgletal'!C11)</f>
        <v>13272987.981561393</v>
      </c>
      <c r="H23" s="14" t="s">
        <v>3</v>
      </c>
      <c r="I23" s="1"/>
    </row>
    <row r="24" spans="1:9" x14ac:dyDescent="0.25">
      <c r="A24" s="1"/>
      <c r="B24" s="137" t="s">
        <v>67</v>
      </c>
      <c r="C24" s="138"/>
      <c r="D24" s="138"/>
      <c r="E24" s="138"/>
      <c r="F24" s="139"/>
      <c r="G24" s="58">
        <v>1010163.6807377673</v>
      </c>
      <c r="H24" s="14" t="s">
        <v>3</v>
      </c>
      <c r="I24" s="1"/>
    </row>
    <row r="25" spans="1:9" x14ac:dyDescent="0.25">
      <c r="A25" s="1"/>
      <c r="B25" s="133" t="s">
        <v>68</v>
      </c>
      <c r="C25" s="134"/>
      <c r="D25" s="134"/>
      <c r="E25" s="134"/>
      <c r="F25" s="135"/>
      <c r="G25" s="58">
        <f>G23*'Fane 13. Nøgletal'!C22+G24*'Fane 13. Nøgletal'!C23</f>
        <v>144163.64397253669</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30" t="s">
        <v>130</v>
      </c>
      <c r="C28" s="131"/>
      <c r="D28" s="131"/>
      <c r="E28" s="131"/>
      <c r="F28" s="131"/>
      <c r="G28" s="136"/>
      <c r="H28" s="132"/>
      <c r="I28" s="1"/>
    </row>
    <row r="29" spans="1:9" x14ac:dyDescent="0.25">
      <c r="A29" s="1"/>
      <c r="B29" s="133" t="s">
        <v>69</v>
      </c>
      <c r="C29" s="134"/>
      <c r="D29" s="134"/>
      <c r="E29" s="134"/>
      <c r="F29" s="135"/>
      <c r="G29" s="58">
        <f>(G23+G24-G25)*(1+'Fane 13. Nøgletal'!C13)</f>
        <v>14311483.672150208</v>
      </c>
      <c r="H29" s="14" t="s">
        <v>3</v>
      </c>
      <c r="I29" s="1"/>
    </row>
    <row r="30" spans="1:9" x14ac:dyDescent="0.25">
      <c r="A30" s="1"/>
      <c r="B30" s="133" t="s">
        <v>123</v>
      </c>
      <c r="C30" s="134"/>
      <c r="D30" s="134"/>
      <c r="E30" s="134"/>
      <c r="F30" s="135"/>
      <c r="G30" s="58">
        <v>93098.703993119998</v>
      </c>
      <c r="H30" s="14" t="s">
        <v>3</v>
      </c>
      <c r="I30" s="1"/>
    </row>
    <row r="31" spans="1:9" x14ac:dyDescent="0.25">
      <c r="A31" s="1"/>
      <c r="B31" s="133" t="s">
        <v>131</v>
      </c>
      <c r="C31" s="134"/>
      <c r="D31" s="134"/>
      <c r="E31" s="134"/>
      <c r="F31" s="135"/>
      <c r="G31" s="58">
        <f>(G29+G30)*'Fane 13. Nøgletal'!C24</f>
        <v>396126.01534394152</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30" t="s">
        <v>135</v>
      </c>
      <c r="C34" s="131"/>
      <c r="D34" s="131"/>
      <c r="E34" s="131"/>
      <c r="F34" s="131"/>
      <c r="G34" s="136"/>
      <c r="H34" s="132"/>
      <c r="I34" s="1"/>
    </row>
    <row r="35" spans="1:9" x14ac:dyDescent="0.25">
      <c r="A35" s="1"/>
      <c r="B35" s="133" t="s">
        <v>72</v>
      </c>
      <c r="C35" s="134"/>
      <c r="D35" s="134"/>
      <c r="E35" s="134"/>
      <c r="F35" s="135"/>
      <c r="G35" s="58">
        <f>(G29+G30-G31)*(1+'Fane 13. Nøgletal'!C13)</f>
        <v>14179359.528401138</v>
      </c>
      <c r="H35" s="14" t="s">
        <v>3</v>
      </c>
      <c r="I35" s="1"/>
    </row>
    <row r="36" spans="1:9" x14ac:dyDescent="0.25">
      <c r="A36" s="1"/>
      <c r="B36" s="133" t="s">
        <v>141</v>
      </c>
      <c r="C36" s="134"/>
      <c r="D36" s="134"/>
      <c r="E36" s="134"/>
      <c r="F36" s="135"/>
      <c r="G36" s="58">
        <f>SUM('Fane 3. Omkostninger i ØR2022'!E11)*(1+'Fane 13. Nøgletal'!C14)</f>
        <v>86881.592526790002</v>
      </c>
      <c r="H36" s="14" t="s">
        <v>3</v>
      </c>
      <c r="I36" s="1"/>
    </row>
    <row r="37" spans="1:9" x14ac:dyDescent="0.25">
      <c r="A37" s="1"/>
      <c r="B37" s="133" t="s">
        <v>136</v>
      </c>
      <c r="C37" s="134"/>
      <c r="D37" s="134"/>
      <c r="E37" s="134"/>
      <c r="F37" s="135"/>
      <c r="G37" s="58">
        <f>G35*'Fane 13. Nøgletal'!C24+G36*'Fane 13. Nøgletal'!C25</f>
        <v>391218.23460042779</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30" t="s">
        <v>200</v>
      </c>
      <c r="C40" s="131"/>
      <c r="D40" s="131"/>
      <c r="E40" s="131"/>
      <c r="F40" s="131"/>
      <c r="G40" s="136"/>
      <c r="H40" s="132"/>
      <c r="I40" s="1"/>
    </row>
    <row r="41" spans="1:9" x14ac:dyDescent="0.25">
      <c r="A41" s="1"/>
      <c r="B41" s="133" t="s">
        <v>71</v>
      </c>
      <c r="C41" s="134"/>
      <c r="D41" s="134"/>
      <c r="E41" s="134"/>
      <c r="F41" s="135"/>
      <c r="G41" s="58">
        <f>(G35+G36-G37)*(1+'Fane 13. Nøgletal'!C15)</f>
        <v>14368973.70108076</v>
      </c>
      <c r="H41" s="14" t="s">
        <v>3</v>
      </c>
      <c r="I41" s="1"/>
    </row>
    <row r="42" spans="1:9" x14ac:dyDescent="0.25">
      <c r="A42" s="1"/>
      <c r="B42" s="133" t="s">
        <v>211</v>
      </c>
      <c r="C42" s="134"/>
      <c r="D42" s="134"/>
      <c r="E42" s="134"/>
      <c r="F42" s="135"/>
      <c r="G42" s="63">
        <f>SUM('Fane 2.1. Økonomisk ramme 2023'!C10+'Fane 2.1. Økonomisk ramme 2023'!C12+'Fane 2.1. Økonomisk ramme 2023'!C14)*(1+'Fane 13. Nøgletal'!C15)</f>
        <v>2303.6598892800002</v>
      </c>
      <c r="H42" s="14" t="s">
        <v>3</v>
      </c>
      <c r="I42" s="1"/>
    </row>
    <row r="43" spans="1:9" x14ac:dyDescent="0.25">
      <c r="A43" s="1"/>
      <c r="B43" s="133" t="s">
        <v>70</v>
      </c>
      <c r="C43" s="134"/>
      <c r="D43" s="134"/>
      <c r="E43" s="134"/>
      <c r="F43" s="135"/>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30" t="s">
        <v>201</v>
      </c>
      <c r="C46" s="131"/>
      <c r="D46" s="131"/>
      <c r="E46" s="131"/>
      <c r="F46" s="131"/>
      <c r="G46" s="136"/>
      <c r="H46" s="132"/>
      <c r="I46" s="1"/>
    </row>
    <row r="47" spans="1:9" x14ac:dyDescent="0.25">
      <c r="A47" s="1"/>
      <c r="B47" s="133" t="s">
        <v>124</v>
      </c>
      <c r="C47" s="134"/>
      <c r="D47" s="134"/>
      <c r="E47" s="134"/>
      <c r="F47" s="135"/>
      <c r="G47" s="58">
        <f>(G41+G42-G43)*(1+'Fane 13. Nøgletal'!C15)</f>
        <v>14882894.835020576</v>
      </c>
      <c r="H47" s="14" t="s">
        <v>3</v>
      </c>
      <c r="I47" s="1"/>
    </row>
    <row r="48" spans="1:9" x14ac:dyDescent="0.25">
      <c r="A48" s="1"/>
      <c r="B48" s="133" t="s">
        <v>125</v>
      </c>
      <c r="C48" s="134"/>
      <c r="D48" s="134"/>
      <c r="E48" s="134"/>
      <c r="F48" s="135"/>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30" t="s">
        <v>142</v>
      </c>
      <c r="C51" s="131"/>
      <c r="D51" s="131"/>
      <c r="E51" s="131"/>
      <c r="F51" s="131"/>
      <c r="G51" s="136"/>
      <c r="H51" s="132"/>
      <c r="I51" s="1"/>
    </row>
    <row r="52" spans="1:9" x14ac:dyDescent="0.25">
      <c r="A52" s="1"/>
      <c r="B52" s="133" t="s">
        <v>143</v>
      </c>
      <c r="C52" s="134"/>
      <c r="D52" s="134"/>
      <c r="E52" s="134"/>
      <c r="F52" s="135"/>
      <c r="G52" s="58">
        <f>(G47-G48)*(1+'Fane 13. Nøgletal'!C15)</f>
        <v>15412725.89114731</v>
      </c>
      <c r="H52" s="14" t="s">
        <v>3</v>
      </c>
      <c r="I52" s="1"/>
    </row>
    <row r="53" spans="1:9" x14ac:dyDescent="0.25">
      <c r="A53" s="1"/>
      <c r="B53" s="133" t="s">
        <v>144</v>
      </c>
      <c r="C53" s="134"/>
      <c r="D53" s="134"/>
      <c r="E53" s="134"/>
      <c r="F53" s="135"/>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30" t="s">
        <v>177</v>
      </c>
      <c r="C56" s="131"/>
      <c r="D56" s="131"/>
      <c r="E56" s="131"/>
      <c r="F56" s="131"/>
      <c r="G56" s="136"/>
      <c r="H56" s="132"/>
      <c r="I56" s="1"/>
    </row>
    <row r="57" spans="1:9" x14ac:dyDescent="0.25">
      <c r="A57" s="1"/>
      <c r="B57" s="133" t="s">
        <v>178</v>
      </c>
      <c r="C57" s="134"/>
      <c r="D57" s="134"/>
      <c r="E57" s="134"/>
      <c r="F57" s="135"/>
      <c r="G57" s="58">
        <f>(G52-G53)*(1+'Fane 13. Nøgletal'!C15)</f>
        <v>15961418.932872156</v>
      </c>
      <c r="H57" s="14" t="s">
        <v>3</v>
      </c>
      <c r="I57" s="1"/>
    </row>
    <row r="58" spans="1:9" x14ac:dyDescent="0.25">
      <c r="A58" s="1"/>
      <c r="B58" s="133" t="s">
        <v>179</v>
      </c>
      <c r="C58" s="134"/>
      <c r="D58" s="134"/>
      <c r="E58" s="134"/>
      <c r="F58" s="135"/>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OJh9m+XFgMxXW+lHzIBAO5G3z0bnioe1MKhbsmcbHOssygv5rl3KPQFcJGkOp7J2JI8H752Ds2w2yX1tjZxROA==" saltValue="eqLT/SryILjFwY5GqbsIb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9</v>
      </c>
      <c r="C8" s="131"/>
      <c r="D8" s="131"/>
      <c r="E8" s="131"/>
      <c r="F8" s="131"/>
      <c r="G8" s="132"/>
      <c r="H8" s="1"/>
    </row>
    <row r="9" spans="1:8" x14ac:dyDescent="0.25">
      <c r="A9" s="1"/>
      <c r="B9" s="84" t="s">
        <v>180</v>
      </c>
      <c r="C9" s="85"/>
      <c r="D9" s="85"/>
      <c r="E9" s="85"/>
      <c r="F9" s="86"/>
      <c r="G9" s="28">
        <v>0.02</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iO2u+gyPZiD0YKlcYTnb6CIveu/R0gNr7tgWyzeuUvZ4A8tXJc8Fdz/34ZQMuvPd/JCdf2oG6+O7uWrZn4IR4A==" saltValue="2nutR//WPXFIFTRkRuuZX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2022-12-01T09:32:05Z</dcterms:modified>
</cp:coreProperties>
</file>