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ovafos Vand Ballerup AS (V197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4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E38" i="39"/>
  <c r="C20" i="23" s="1"/>
  <c r="E14" i="39"/>
  <c r="C27" i="2" s="1"/>
  <c r="E22" i="39"/>
  <c r="C21" i="15" s="1"/>
  <c r="C19" i="23"/>
  <c r="C19" i="22"/>
  <c r="C20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5" i="37" s="1"/>
  <c r="C16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5" i="37" s="1"/>
  <c r="E16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<sst xmlns="http://schemas.openxmlformats.org/spreadsheetml/2006/main" count="629" uniqueCount="257">
  <si>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</si>
  <si>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</si>
  <si>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</si>
  <si>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</si>
  <si>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</si>
  <si>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</si>
  <si>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</si>
  <si>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</si>
  <si>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</si>
  <si>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</si>
  <si>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</si>
  <si>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</si>
  <si>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</si>
  <si>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</si>
  <si>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</si>
  <si>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</si>
  <si>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</si>
  <si>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</si>
  <si>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</si>
  <si>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</si>
  <si>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</si>
  <si>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</si>
  <si>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</si>
  <si>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</si>
  <si>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</si>
  <si>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</si>
  <si>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</si>
  <si>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</si>
  <si>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</si>
  <si>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</si>
  <si>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</si>
  <si>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</si>
  <si>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</si>
  <si>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</si>
  <si>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</si>
  <si>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</si>
  <si>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</si>
  <si>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</si>
  <si>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</si>
  <si>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</si>
  <si>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</si>
  <si>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</si>
  <si>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</si>
  <si>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</si>
  <si>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</si>
  <si>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</si>
  <si>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</si>
  <si>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</si>
  <si>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</si>
  <si>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</si>
  <si>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</si>
  <si>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</si>
  <si>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</si>
  <si>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</si>
  <si>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</si>
  <si>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</si>
  <si>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</si>
  <si>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</si>
  <si>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</si>
  <si>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</si>
  <si>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</si>
  <si>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</si>
  <si>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</si>
  <si>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</si>
  <si>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</si>
  <si>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</si>
  <si>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</si>
  <si>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</si>
  <si>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</si>
  <si>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</si>
  <si>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</si>
  <si>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</si>
  <si>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</si>
  <si>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</si>
  <si>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</si>
  <si>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</si>
  <si>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</si>
  <si>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</si>
  <si>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</si>
  <si>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</si>
  <si>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</si>
  <si>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</si>
  <si>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</si>
  <si>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</si>
  <si>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</si>
  <si>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</si>
  <si>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</si>
  <si>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</si>
  <si>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</si>
  <si>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</si>
  <si>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</si>
  <si>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</si>
  <si>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</si>
  <si>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</si>
  <si>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</si>
  <si>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</si>
  <si>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</si>
  <si>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</si>
  <si>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</si>
  <si>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</si>
  <si>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</si>
  <si>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</si>
  <si>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</si>
  <si>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</si>
  <si>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</si>
  <si>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</si>
  <si>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</si>
  <si>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</si>
  <si>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</si>
  <si>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</si>
  <si>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</si>
  <si>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</si>
  <si>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</si>
  <si>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</si>
  <si>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</si>
  <si>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</si>
  <si>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</si>
  <si>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</si>
  <si>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</si>
  <si>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</si>
  <si>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</si>
  <si>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</si>
  <si>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</si>
  <si>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</si>
  <si>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</si>
  <si>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</si>
  <si>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</si>
  <si>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</si>
  <si>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</si>
  <si>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</si>
  <si>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</si>
  <si>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</si>
  <si>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</si>
  <si>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</si>
  <si>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</si>
  <si>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</si>
  <si>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</si>
  <si>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</si>
  <si>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</si>
  <si>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</si>
  <si>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</si>
  <si>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</si>
  <si>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</si>
  <si>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</si>
  <si>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</si>
  <si>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</si>
  <si>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</si>
  <si>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</si>
  <si>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</si>
  <si>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</si>
  <si>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</si>
  <si>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</si>
  <si>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</si>
  <si>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</si>
  <si>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</si>
  <si>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</si>
  <si>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</si>
  <si>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</si>
  <si>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</si>
  <si>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</si>
  <si>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</si>
  <si>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</si>
  <si>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</si>
  <si>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</si>
  <si>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</si>
  <si>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</si>
  <si>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</si>
  <si>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</si>
  <si>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</si>
  <si>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</si>
  <si>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</si>
  <si>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</si>
  <si>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</si>
  <si>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</si>
  <si>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</si>
  <si>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</si>
  <si>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</si>
  <si>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</si>
  <si>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</si>
  <si>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</si>
  <si>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</si>
  <si>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</si>
  <si>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</si>
  <si>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</si>
  <si>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</si>
  <si>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</si>
  <si>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</si>
  <si>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</si>
  <si>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</si>
  <si>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</si>
  <si>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</si>
  <si>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</si>
  <si>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</si>
  <si>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</si>
  <si>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</si>
  <si>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</si>
  <si>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</si>
  <si>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</si>
  <si>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</si>
  <si>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</si>
  <si>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</si>
  <si>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</si>
  <si>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</si>
  <si>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</si>
  <si>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</si>
  <si>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</si>
  <si>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</si>
  <si>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</si>
  <si>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</si>
  <si>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</si>
  <si>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</si>
  <si>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</si>
  <si>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</si>
  <si>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</si>
  <si>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</si>
  <si>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</si>
  <si>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</si>
  <si>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</si>
  <si>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</si>
  <si>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</si>
  <si>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</si>
  <si>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</si>
  <si>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</si>
  <si>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</si>
  <si>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</si>
  <si>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</si>
  <si>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</si>
  <si>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Nye stiketableringer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</si>
  <si>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</si>
  <si>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</si>
  <si>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</si>
  <si>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</si>
  <si>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</si>
  <si>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</si>
  <si>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</si>
  <si>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</si>
  <si>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</si>
  <si>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</si>
  <si>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</si>
  <si>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</si>
  <si>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</si>
  <si>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</si>
  <si>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</si>
  <si>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</si>
  <si>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</si>
  <si>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</si>
  <si>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</si>
  <si>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Fjernaflæste målere, pesticider og DMS</t>
  </si>
  <si>
    <t>Ingen engangstillæg</t>
  </si>
  <si>
    <t>Byggemodning Schæfergården og ny anlæg af forsyningsledning</t>
  </si>
  <si>
    <t xml:space="preserve">Ballerup Vandværk - Omlægning af ledninger 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</si>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</sst>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wrapText="1"/>
    </xf>
    <xf numFmtId="165" fontId="8" fillId="4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3">
          <cell r="A3" t="str">
            <v>S016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180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163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15</v>
      </c>
      <c r="D14" s="71" t="s">
        <v>83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35</v>
      </c>
      <c r="D15" s="71" t="s">
        <v>128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36</v>
      </c>
      <c r="D16" s="71" t="s">
        <v>181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127</v>
      </c>
      <c r="D17" s="71" t="s">
        <v>182</v>
      </c>
      <c r="E17" s="72"/>
      <c r="F17" s="72"/>
      <c r="G17" s="73"/>
      <c r="H17" s="1"/>
      <c r="I17" s="1"/>
    </row>
    <row r="18" spans="1:9" x14ac:dyDescent="0.25">
      <c r="A18" s="1"/>
      <c r="B18" s="1"/>
      <c r="C18" s="32" t="s">
        <v>111</v>
      </c>
      <c r="D18" s="80" t="s">
        <v>100</v>
      </c>
      <c r="E18" s="81"/>
      <c r="F18" s="81"/>
      <c r="G18" s="82"/>
      <c r="H18" s="1"/>
      <c r="I18" s="1"/>
    </row>
    <row r="19" spans="1:9" x14ac:dyDescent="0.25">
      <c r="A19" s="1"/>
      <c r="B19" s="1"/>
      <c r="C19" s="32" t="s">
        <v>112</v>
      </c>
      <c r="D19" s="80" t="s">
        <v>101</v>
      </c>
      <c r="E19" s="81"/>
      <c r="F19" s="81"/>
      <c r="G19" s="82"/>
      <c r="H19" s="1"/>
      <c r="I19" s="1"/>
    </row>
    <row r="20" spans="1:9" x14ac:dyDescent="0.25">
      <c r="A20" s="1"/>
      <c r="B20" s="1"/>
      <c r="C20" s="32" t="s">
        <v>7</v>
      </c>
      <c r="D20" s="80" t="s">
        <v>9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113</v>
      </c>
      <c r="D21" s="86" t="s">
        <v>12</v>
      </c>
      <c r="E21" s="87"/>
      <c r="F21" s="87"/>
      <c r="G21" s="88"/>
      <c r="H21" s="1"/>
      <c r="I21" s="1"/>
    </row>
    <row r="22" spans="1:9" x14ac:dyDescent="0.25">
      <c r="A22" s="1"/>
      <c r="B22" s="1"/>
      <c r="C22" s="6" t="s">
        <v>87</v>
      </c>
      <c r="D22" s="75" t="s">
        <v>183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37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170</v>
      </c>
      <c r="D24" s="75" t="s">
        <v>88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171</v>
      </c>
      <c r="D25" s="75" t="s">
        <v>89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172</v>
      </c>
      <c r="D26" s="75" t="s">
        <v>129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114</v>
      </c>
      <c r="D27" s="75" t="s">
        <v>38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108</v>
      </c>
      <c r="D28" s="83" t="s">
        <v>109</v>
      </c>
      <c r="E28" s="84"/>
      <c r="F28" s="84"/>
      <c r="G28" s="8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hZ9lJqjU4DSx1ET/SLV0NjrSUaSHTqFoiCFOWTF6/Ko+WmokyP1Z6inGI0zTZ7TdhXKFwpgV5l2wrB872sNN8A==" saltValue="S+HjVv1nRcaVvZI412UxKg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203</v>
      </c>
      <c r="C8" s="116"/>
      <c r="D8" s="117"/>
      <c r="E8" s="1"/>
      <c r="F8" s="1"/>
    </row>
    <row r="9" spans="1:6" ht="15" customHeight="1" x14ac:dyDescent="0.25">
      <c r="A9" s="1"/>
      <c r="B9" s="51" t="s">
        <v>33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66" t="s">
        <v>229</v>
      </c>
      <c r="C10" s="9">
        <v>19310028</v>
      </c>
      <c r="D10" s="14" t="s">
        <v>3</v>
      </c>
      <c r="E10" s="1"/>
      <c r="F10" s="1"/>
    </row>
    <row r="11" spans="1:6" x14ac:dyDescent="0.25">
      <c r="A11" s="1"/>
      <c r="B11" s="66" t="s">
        <v>230</v>
      </c>
      <c r="C11" s="9">
        <v>101191</v>
      </c>
      <c r="D11" s="14" t="s">
        <v>3</v>
      </c>
      <c r="E11" s="1"/>
      <c r="F11" s="1"/>
    </row>
    <row r="12" spans="1:6" x14ac:dyDescent="0.25">
      <c r="A12" s="1"/>
      <c r="B12" s="66" t="s">
        <v>231</v>
      </c>
      <c r="C12" s="9">
        <v>7474353</v>
      </c>
      <c r="D12" s="14" t="s">
        <v>3</v>
      </c>
      <c r="E12" s="1"/>
      <c r="F12" s="1"/>
    </row>
    <row r="13" spans="1:6" x14ac:dyDescent="0.25">
      <c r="A13" s="1"/>
      <c r="B13" s="66" t="s">
        <v>232</v>
      </c>
      <c r="C13" s="9">
        <v>151404</v>
      </c>
      <c r="D13" s="14" t="s">
        <v>3</v>
      </c>
      <c r="E13" s="1"/>
      <c r="F13" s="1"/>
    </row>
    <row r="14" spans="1:6" x14ac:dyDescent="0.25">
      <c r="A14" s="1"/>
      <c r="B14" s="54" t="s">
        <v>205</v>
      </c>
      <c r="C14" s="12">
        <f>SUM(C10:C13)</f>
        <v>27036976</v>
      </c>
      <c r="D14" s="13" t="s">
        <v>3</v>
      </c>
      <c r="E14" s="1"/>
      <c r="F14" s="1"/>
    </row>
    <row r="15" spans="1:6" x14ac:dyDescent="0.25">
      <c r="A15" s="1"/>
      <c r="B15" s="54" t="s">
        <v>206</v>
      </c>
      <c r="C15" s="12">
        <f>C14*(1+'Fane 12. Nøgletal'!C14)^2</f>
        <v>27215714.474268645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RPAQgnuA1R0ed2lBxY2xwWcCE9P1JlxnSxpTQUW4vsXqfoE/XNkuuFO6Nt4bYXWo8gsHdcIJcYM0n0W6M8tXhg==" saltValue="4LvvV/VBIwG+74TrQVzkg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8" t="s">
        <v>221</v>
      </c>
      <c r="C3" s="108"/>
      <c r="D3" s="108"/>
      <c r="E3" s="108"/>
      <c r="F3" s="108"/>
      <c r="G3" s="1"/>
    </row>
    <row r="4" spans="1:7" ht="15" customHeight="1" x14ac:dyDescent="0.25">
      <c r="A4" s="1"/>
      <c r="B4" s="108"/>
      <c r="C4" s="108"/>
      <c r="D4" s="108"/>
      <c r="E4" s="108"/>
      <c r="F4" s="108"/>
      <c r="G4" s="1"/>
    </row>
    <row r="5" spans="1:7" ht="15" customHeight="1" x14ac:dyDescent="0.25">
      <c r="A5" s="1"/>
      <c r="B5" s="58"/>
      <c r="C5" s="58"/>
      <c r="D5" s="58"/>
      <c r="E5" s="58"/>
      <c r="F5" s="58"/>
      <c r="G5" s="1"/>
    </row>
    <row r="6" spans="1:7" ht="15" customHeight="1" x14ac:dyDescent="0.25">
      <c r="A6" s="1"/>
      <c r="B6" s="58"/>
      <c r="C6" s="58"/>
      <c r="D6" s="58"/>
      <c r="E6" s="58"/>
      <c r="F6" s="5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234</v>
      </c>
      <c r="C8" s="116"/>
      <c r="D8" s="116"/>
      <c r="E8" s="116"/>
      <c r="F8" s="117"/>
      <c r="G8" s="1"/>
    </row>
    <row r="9" spans="1:7" x14ac:dyDescent="0.25">
      <c r="A9" s="1"/>
      <c r="B9" s="112" t="s">
        <v>235</v>
      </c>
      <c r="C9" s="113"/>
      <c r="D9" s="114"/>
      <c r="E9" s="9">
        <v>-741765.27334453911</v>
      </c>
      <c r="F9" s="14" t="s">
        <v>3</v>
      </c>
      <c r="G9" s="1"/>
    </row>
    <row r="10" spans="1:7" x14ac:dyDescent="0.25">
      <c r="A10" s="1"/>
      <c r="B10" s="112" t="s">
        <v>236</v>
      </c>
      <c r="C10" s="113"/>
      <c r="D10" s="114"/>
      <c r="E10" s="9">
        <v>70002.842066593468</v>
      </c>
      <c r="F10" s="14" t="s">
        <v>3</v>
      </c>
      <c r="G10" s="1"/>
    </row>
    <row r="11" spans="1:7" x14ac:dyDescent="0.25">
      <c r="A11" s="1"/>
      <c r="B11" s="112" t="s">
        <v>237</v>
      </c>
      <c r="C11" s="113"/>
      <c r="D11" s="114"/>
      <c r="E11" s="9">
        <v>-1049344.9774341136</v>
      </c>
      <c r="F11" s="14" t="s">
        <v>3</v>
      </c>
      <c r="G11" s="1"/>
    </row>
    <row r="12" spans="1:7" x14ac:dyDescent="0.25">
      <c r="A12" s="1"/>
      <c r="B12" s="112" t="s">
        <v>238</v>
      </c>
      <c r="C12" s="113"/>
      <c r="D12" s="114"/>
      <c r="E12" s="9">
        <f>IF(OR(AND(E10&gt;0,E11&lt;0),AND(E11&lt;0,E34&gt;0)),E17+E18,E11)</f>
        <v>-979342.15793340653</v>
      </c>
      <c r="F12" s="14" t="s">
        <v>3</v>
      </c>
      <c r="G12" s="1"/>
    </row>
    <row r="13" spans="1:7" x14ac:dyDescent="0.25">
      <c r="A13" s="1"/>
      <c r="B13" s="54"/>
      <c r="C13" s="55"/>
      <c r="D13" s="55"/>
      <c r="E13" s="55"/>
      <c r="F13" s="20"/>
      <c r="G13" s="1"/>
    </row>
    <row r="14" spans="1:7" ht="54.75" customHeight="1" x14ac:dyDescent="0.25">
      <c r="A14" s="1"/>
      <c r="B14" s="91" t="s">
        <v>239</v>
      </c>
      <c r="C14" s="92"/>
      <c r="D14" s="92"/>
      <c r="E14" s="92"/>
      <c r="F14" s="9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240</v>
      </c>
      <c r="C16" s="116"/>
      <c r="D16" s="116"/>
      <c r="E16" s="116"/>
      <c r="F16" s="117"/>
      <c r="G16" s="1"/>
    </row>
    <row r="17" spans="1:7" x14ac:dyDescent="0.25">
      <c r="A17" s="1"/>
      <c r="B17" s="112" t="s">
        <v>241</v>
      </c>
      <c r="C17" s="113"/>
      <c r="D17" s="114"/>
      <c r="E17" s="9">
        <v>-489671.07896670327</v>
      </c>
      <c r="F17" s="14" t="s">
        <v>3</v>
      </c>
      <c r="G17" s="1"/>
    </row>
    <row r="18" spans="1:7" x14ac:dyDescent="0.25">
      <c r="A18" s="1"/>
      <c r="B18" s="112" t="s">
        <v>242</v>
      </c>
      <c r="C18" s="113"/>
      <c r="D18" s="114"/>
      <c r="E18" s="9">
        <v>-489671.07896670327</v>
      </c>
      <c r="F18" s="14" t="s">
        <v>3</v>
      </c>
      <c r="G18" s="1"/>
    </row>
    <row r="19" spans="1:7" x14ac:dyDescent="0.25">
      <c r="A19" s="1"/>
      <c r="B19" s="54"/>
      <c r="C19" s="55"/>
      <c r="D19" s="55"/>
      <c r="E19" s="55"/>
      <c r="F19" s="20"/>
      <c r="G19" s="1"/>
    </row>
    <row r="20" spans="1:7" ht="30" customHeight="1" x14ac:dyDescent="0.25">
      <c r="A20" s="1"/>
      <c r="B20" s="91" t="s">
        <v>243</v>
      </c>
      <c r="C20" s="92"/>
      <c r="D20" s="92"/>
      <c r="E20" s="92"/>
      <c r="F20" s="9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3" t="s">
        <v>207</v>
      </c>
      <c r="C22" s="64"/>
      <c r="D22" s="64"/>
      <c r="E22" s="64"/>
      <c r="F22" s="65"/>
      <c r="G22" s="1"/>
    </row>
    <row r="23" spans="1:7" x14ac:dyDescent="0.25">
      <c r="A23" s="1"/>
      <c r="B23" s="60" t="s">
        <v>208</v>
      </c>
      <c r="C23" s="61"/>
      <c r="D23" s="62"/>
      <c r="E23" s="9">
        <v>57583757.343496092</v>
      </c>
      <c r="F23" s="14" t="s">
        <v>3</v>
      </c>
      <c r="G23" s="1"/>
    </row>
    <row r="24" spans="1:7" x14ac:dyDescent="0.25">
      <c r="A24" s="1"/>
      <c r="B24" s="60" t="s">
        <v>209</v>
      </c>
      <c r="C24" s="61"/>
      <c r="D24" s="62"/>
      <c r="E24" s="9">
        <v>57509414</v>
      </c>
      <c r="F24" s="14" t="s">
        <v>3</v>
      </c>
      <c r="G24" s="1"/>
    </row>
    <row r="25" spans="1:7" x14ac:dyDescent="0.25">
      <c r="A25" s="1"/>
      <c r="B25" s="60" t="s">
        <v>34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68" t="s">
        <v>254</v>
      </c>
      <c r="C26" s="69"/>
      <c r="D26" s="70"/>
      <c r="E26" s="44">
        <f>E23-(E24-E25)</f>
        <v>74343.343496091664</v>
      </c>
      <c r="F26" s="17" t="s">
        <v>3</v>
      </c>
      <c r="G26" s="1"/>
    </row>
    <row r="27" spans="1:7" x14ac:dyDescent="0.25">
      <c r="A27" s="1"/>
      <c r="B27" s="54"/>
      <c r="C27" s="55"/>
      <c r="D27" s="55"/>
      <c r="E27" s="55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244</v>
      </c>
      <c r="C29" s="116"/>
      <c r="D29" s="116"/>
      <c r="E29" s="116"/>
      <c r="F29" s="117"/>
      <c r="G29" s="1"/>
    </row>
    <row r="30" spans="1:7" x14ac:dyDescent="0.25">
      <c r="A30" s="1"/>
      <c r="B30" s="137" t="s">
        <v>245</v>
      </c>
      <c r="C30" s="138"/>
      <c r="D30" s="139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-415327.7354706116</v>
      </c>
      <c r="F30" s="17" t="s">
        <v>3</v>
      </c>
      <c r="G30" s="1"/>
    </row>
    <row r="31" spans="1:7" x14ac:dyDescent="0.25">
      <c r="A31" s="1"/>
      <c r="B31" s="115"/>
      <c r="C31" s="116"/>
      <c r="D31" s="116"/>
      <c r="E31" s="116"/>
      <c r="F31" s="117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246</v>
      </c>
      <c r="C33" s="116"/>
      <c r="D33" s="116"/>
      <c r="E33" s="116"/>
      <c r="F33" s="117"/>
      <c r="G33" s="1"/>
    </row>
    <row r="34" spans="1:7" x14ac:dyDescent="0.25">
      <c r="A34" s="1"/>
      <c r="B34" s="134" t="s">
        <v>255</v>
      </c>
      <c r="C34" s="135"/>
      <c r="D34" s="136"/>
      <c r="E34" s="9">
        <v>0</v>
      </c>
      <c r="F34" s="14"/>
      <c r="G34" s="1"/>
    </row>
    <row r="35" spans="1:7" x14ac:dyDescent="0.25">
      <c r="A35" s="1"/>
      <c r="B35" s="134" t="s">
        <v>161</v>
      </c>
      <c r="C35" s="135"/>
      <c r="D35" s="136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4" t="s">
        <v>110</v>
      </c>
      <c r="C36" s="135"/>
      <c r="D36" s="136"/>
      <c r="E36" s="9">
        <v>4</v>
      </c>
      <c r="F36" s="14" t="s">
        <v>19</v>
      </c>
      <c r="G36" s="1"/>
    </row>
    <row r="37" spans="1:7" x14ac:dyDescent="0.25">
      <c r="A37" s="1"/>
      <c r="B37" s="133" t="s">
        <v>160</v>
      </c>
      <c r="C37" s="133"/>
      <c r="D37" s="133"/>
      <c r="E37" s="10">
        <f>E35/E36</f>
        <v>0</v>
      </c>
      <c r="F37" s="17" t="s">
        <v>3</v>
      </c>
      <c r="G37" s="1"/>
    </row>
    <row r="38" spans="1:7" x14ac:dyDescent="0.25">
      <c r="A38" s="1"/>
      <c r="B38" s="130"/>
      <c r="C38" s="131"/>
      <c r="D38" s="131"/>
      <c r="E38" s="131"/>
      <c r="F38" s="132"/>
      <c r="G38" s="1"/>
    </row>
    <row r="39" spans="1:7" ht="75" customHeight="1" x14ac:dyDescent="0.25">
      <c r="A39" s="1"/>
      <c r="B39" s="91" t="s">
        <v>253</v>
      </c>
      <c r="C39" s="92"/>
      <c r="D39" s="92"/>
      <c r="E39" s="92"/>
      <c r="F39" s="9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QXnpuPwA9w3R0Gxm+ZiIqc60aALfa9qmapHan9Fcj9t4Zg3PUwWt+y+9wzuQfieg3Q5a0N9j1b9VbKfOj7wsgg==" saltValue="HAZK9vhtFMwmZOYPGo7zcA==" spinCount="100000" sheet="1" objects="1" scenarios="1"/>
  <mergeCells count="21">
    <mergeCell ref="B3:F4"/>
    <mergeCell ref="B17:D17"/>
    <mergeCell ref="B9:D9"/>
    <mergeCell ref="B29:F29"/>
    <mergeCell ref="B30:D30"/>
    <mergeCell ref="B38:F38"/>
    <mergeCell ref="B39:F39"/>
    <mergeCell ref="B37:D37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7"/>
      <c r="I9" s="1"/>
    </row>
    <row r="10" spans="1:9" x14ac:dyDescent="0.25">
      <c r="A10" s="1"/>
      <c r="B10" s="47" t="s">
        <v>256</v>
      </c>
      <c r="C10" s="48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5" t="s">
        <v>158</v>
      </c>
      <c r="C11" s="116"/>
      <c r="D11" s="11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QaKtr7iGbfyzTsOdQXQNGiWJYchHiSTFQeETQWep2fWutPH3KNGgrbygYVAQaQgtUdc9jLFBnDl/MbQ9yupvaA==" saltValue="SxtI2ZCcUBLA27WGXJg58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84</v>
      </c>
      <c r="C8" s="55"/>
      <c r="D8" s="55"/>
      <c r="E8" s="55"/>
      <c r="F8" s="20"/>
      <c r="G8" s="1"/>
    </row>
    <row r="9" spans="1:7" ht="17.25" customHeight="1" x14ac:dyDescent="0.25">
      <c r="A9" s="1"/>
      <c r="B9" s="52" t="s">
        <v>16</v>
      </c>
      <c r="C9" s="52" t="s">
        <v>11</v>
      </c>
      <c r="D9" s="53"/>
      <c r="E9" s="52" t="s">
        <v>32</v>
      </c>
      <c r="F9" s="57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25" t="s">
        <v>247</v>
      </c>
      <c r="C11" s="22">
        <v>449818</v>
      </c>
      <c r="D11" s="14" t="s">
        <v>3</v>
      </c>
      <c r="E11" s="9">
        <v>301805</v>
      </c>
      <c r="F11" s="14" t="s">
        <v>3</v>
      </c>
      <c r="G11" s="1"/>
    </row>
    <row r="12" spans="1:7" x14ac:dyDescent="0.25">
      <c r="A12" s="1"/>
      <c r="B12" s="25" t="s">
        <v>250</v>
      </c>
      <c r="C12" s="22">
        <v>0</v>
      </c>
      <c r="D12" s="14" t="s">
        <v>3</v>
      </c>
      <c r="E12" s="9">
        <v>29819</v>
      </c>
      <c r="F12" s="14" t="s">
        <v>3</v>
      </c>
      <c r="G12" s="1"/>
    </row>
    <row r="13" spans="1:7" x14ac:dyDescent="0.25">
      <c r="A13" s="1"/>
      <c r="B13" s="25" t="s">
        <v>227</v>
      </c>
      <c r="C13" s="22">
        <v>0</v>
      </c>
      <c r="D13" s="14" t="s">
        <v>3</v>
      </c>
      <c r="E13" s="9">
        <v>11543</v>
      </c>
      <c r="F13" s="14" t="s">
        <v>3</v>
      </c>
      <c r="G13" s="1"/>
    </row>
    <row r="14" spans="1:7" ht="26.25" x14ac:dyDescent="0.25">
      <c r="A14" s="1"/>
      <c r="B14" s="45" t="s">
        <v>249</v>
      </c>
      <c r="C14" s="22">
        <v>326074</v>
      </c>
      <c r="D14" s="14" t="s">
        <v>3</v>
      </c>
      <c r="E14" s="9">
        <v>23192</v>
      </c>
      <c r="F14" s="14" t="s">
        <v>3</v>
      </c>
      <c r="G14" s="1"/>
    </row>
    <row r="15" spans="1:7" x14ac:dyDescent="0.25">
      <c r="A15" s="1"/>
      <c r="B15" s="54" t="s">
        <v>136</v>
      </c>
      <c r="C15" s="12">
        <f>SUM(C10:C14)</f>
        <v>775892</v>
      </c>
      <c r="D15" s="13" t="s">
        <v>3</v>
      </c>
      <c r="E15" s="12">
        <f>SUM(E10:E14)</f>
        <v>366359</v>
      </c>
      <c r="F15" s="13" t="s">
        <v>3</v>
      </c>
      <c r="G15" s="1"/>
    </row>
    <row r="16" spans="1:7" x14ac:dyDescent="0.25">
      <c r="A16" s="1"/>
      <c r="B16" s="54" t="s">
        <v>210</v>
      </c>
      <c r="C16" s="12">
        <f>C15*(1+'Fane 12. Nøgletal'!C14)</f>
        <v>778452.44360000012</v>
      </c>
      <c r="D16" s="13" t="s">
        <v>3</v>
      </c>
      <c r="E16" s="12">
        <f>E15*(1+'Fane 12. Nøgletal'!C14)</f>
        <v>367567.98470000003</v>
      </c>
      <c r="F16" s="13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IebC4X40aAaeTe3sWcYVe/EKANd/V1ZXr6quQi4Haywv0ZBx8X+Y7LmsG+Yxifo+lwaLJAG3djGoGG9jxNT7ug==" saltValue="A+5Hm02qvRUIraH1icEyS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52" t="s">
        <v>16</v>
      </c>
      <c r="C9" s="52" t="s">
        <v>11</v>
      </c>
      <c r="D9" s="53"/>
      <c r="E9" s="52" t="s">
        <v>32</v>
      </c>
      <c r="F9" s="57"/>
      <c r="G9" s="1"/>
    </row>
    <row r="10" spans="1:7" x14ac:dyDescent="0.25">
      <c r="A10" s="1"/>
      <c r="B10" s="25" t="s">
        <v>248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4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52" t="s">
        <v>16</v>
      </c>
      <c r="C17" s="52" t="s">
        <v>11</v>
      </c>
      <c r="D17" s="53"/>
      <c r="E17" s="52" t="s">
        <v>32</v>
      </c>
      <c r="F17" s="57"/>
      <c r="G17" s="1"/>
    </row>
    <row r="18" spans="1:7" x14ac:dyDescent="0.25">
      <c r="A18" s="1"/>
      <c r="B18" s="25" t="s">
        <v>248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4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4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52" t="s">
        <v>16</v>
      </c>
      <c r="C25" s="52" t="s">
        <v>11</v>
      </c>
      <c r="D25" s="53"/>
      <c r="E25" s="52" t="s">
        <v>32</v>
      </c>
      <c r="F25" s="57"/>
      <c r="G25" s="1"/>
    </row>
    <row r="26" spans="1:7" x14ac:dyDescent="0.25">
      <c r="A26" s="1"/>
      <c r="B26" s="25" t="s">
        <v>248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4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4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212</v>
      </c>
      <c r="C32" s="116"/>
      <c r="D32" s="116"/>
      <c r="E32" s="116"/>
      <c r="F32" s="117"/>
      <c r="G32" s="1"/>
    </row>
    <row r="33" spans="1:7" x14ac:dyDescent="0.25">
      <c r="A33" s="1"/>
      <c r="B33" s="52" t="s">
        <v>16</v>
      </c>
      <c r="C33" s="52" t="s">
        <v>11</v>
      </c>
      <c r="D33" s="53"/>
      <c r="E33" s="52" t="s">
        <v>32</v>
      </c>
      <c r="F33" s="57"/>
      <c r="G33" s="1"/>
    </row>
    <row r="34" spans="1:7" x14ac:dyDescent="0.25">
      <c r="A34" s="1"/>
      <c r="B34" s="25" t="s">
        <v>248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4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4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eFMHGBUZtjXmkPe8pXg0qytTZ0VOOARB3e0Bjj8wwXTlh2cbdZim4/a58GidLV2HoVwjiS2jEgbAN/ff/zzhVg==" saltValue="5vbP74xtTouKcTCGaQoVT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166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56" t="s">
        <v>131</v>
      </c>
      <c r="C9" s="100" t="s">
        <v>11</v>
      </c>
      <c r="D9" s="102"/>
      <c r="E9" s="100" t="s">
        <v>32</v>
      </c>
      <c r="F9" s="102"/>
      <c r="G9" s="1"/>
    </row>
    <row r="10" spans="1:7" x14ac:dyDescent="0.25">
      <c r="A10" s="1"/>
      <c r="B10" s="25" t="s">
        <v>228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NXlbQmgvAANOiq8soYzdHczMaLCHxXpGMb4ML4ysEWxw+zq0xVsbiA9LlH90MzwFRoqtBJegG6IRpyfLc7sgA==" saltValue="A1XP2xNGonAZngH6/tHsG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165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56" t="s">
        <v>17</v>
      </c>
      <c r="C9" s="56" t="s">
        <v>11</v>
      </c>
      <c r="D9" s="57"/>
      <c r="E9" s="56" t="s">
        <v>32</v>
      </c>
      <c r="F9" s="57"/>
      <c r="G9" s="1"/>
    </row>
    <row r="10" spans="1:7" x14ac:dyDescent="0.25">
      <c r="A10" s="1"/>
      <c r="B10" s="25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4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56" t="s">
        <v>17</v>
      </c>
      <c r="C16" s="56" t="s">
        <v>11</v>
      </c>
      <c r="D16" s="57"/>
      <c r="E16" s="56" t="s">
        <v>32</v>
      </c>
      <c r="F16" s="57"/>
      <c r="G16" s="1"/>
    </row>
    <row r="17" spans="1:7" x14ac:dyDescent="0.25">
      <c r="A17" s="1"/>
      <c r="B17" s="25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4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4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56" t="s">
        <v>17</v>
      </c>
      <c r="C23" s="56" t="s">
        <v>11</v>
      </c>
      <c r="D23" s="57"/>
      <c r="E23" s="56" t="s">
        <v>32</v>
      </c>
      <c r="F23" s="57"/>
      <c r="G23" s="1"/>
    </row>
    <row r="24" spans="1:7" x14ac:dyDescent="0.25">
      <c r="A24" s="1"/>
      <c r="B24" s="25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4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4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215</v>
      </c>
      <c r="C29" s="116"/>
      <c r="D29" s="116"/>
      <c r="E29" s="116"/>
      <c r="F29" s="117"/>
      <c r="G29" s="1"/>
    </row>
    <row r="30" spans="1:7" ht="26.25" x14ac:dyDescent="0.25">
      <c r="A30" s="1"/>
      <c r="B30" s="56" t="s">
        <v>17</v>
      </c>
      <c r="C30" s="56" t="s">
        <v>11</v>
      </c>
      <c r="D30" s="57"/>
      <c r="E30" s="56" t="s">
        <v>32</v>
      </c>
      <c r="F30" s="57"/>
      <c r="G30" s="1"/>
    </row>
    <row r="31" spans="1:7" x14ac:dyDescent="0.25">
      <c r="A31" s="1"/>
      <c r="B31" s="25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4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4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iSQ/vmzhHO5og5H40jJGCu5iol071b1w3AQ5TqDkZOP8K+nkbKW61BBNLfCo9NAHJKk9C45uqwigqNifhgQk6A==" saltValue="lonSeCM5pwZxMnxQGd7q4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8" t="s">
        <v>164</v>
      </c>
      <c r="C3" s="108"/>
      <c r="D3" s="1"/>
    </row>
    <row r="4" spans="1:4" ht="25.5" customHeight="1" x14ac:dyDescent="0.25">
      <c r="A4" s="1"/>
      <c r="B4" s="108"/>
      <c r="C4" s="10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4" t="s">
        <v>14</v>
      </c>
      <c r="C8" s="20"/>
      <c r="D8" s="1"/>
    </row>
    <row r="9" spans="1:4" x14ac:dyDescent="0.25">
      <c r="A9" s="1"/>
      <c r="B9" s="66" t="s">
        <v>118</v>
      </c>
      <c r="C9" s="26">
        <v>1.2699999999999999E-2</v>
      </c>
      <c r="D9" s="1"/>
    </row>
    <row r="10" spans="1:4" x14ac:dyDescent="0.25">
      <c r="A10" s="1"/>
      <c r="B10" s="66" t="s">
        <v>22</v>
      </c>
      <c r="C10" s="26">
        <v>1.7500000000000002E-2</v>
      </c>
      <c r="D10" s="1"/>
    </row>
    <row r="11" spans="1:4" x14ac:dyDescent="0.25">
      <c r="A11" s="1"/>
      <c r="B11" s="66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49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4" t="s">
        <v>106</v>
      </c>
      <c r="C18" s="20"/>
      <c r="D18" s="1"/>
    </row>
    <row r="19" spans="1:4" x14ac:dyDescent="0.25">
      <c r="A19" s="1"/>
      <c r="B19" s="66" t="s">
        <v>120</v>
      </c>
      <c r="C19" s="23">
        <v>9.1000000000000004E-3</v>
      </c>
      <c r="D19" s="1"/>
    </row>
    <row r="20" spans="1:4" x14ac:dyDescent="0.25">
      <c r="A20" s="1"/>
      <c r="B20" s="66" t="s">
        <v>121</v>
      </c>
      <c r="C20" s="23">
        <v>1.77E-2</v>
      </c>
      <c r="D20" s="1"/>
    </row>
    <row r="21" spans="1:4" x14ac:dyDescent="0.25">
      <c r="A21" s="1"/>
      <c r="B21" s="66" t="s">
        <v>122</v>
      </c>
      <c r="C21" s="23">
        <v>8.6999999999999994E-3</v>
      </c>
      <c r="D21" s="1"/>
    </row>
    <row r="22" spans="1:4" x14ac:dyDescent="0.25">
      <c r="A22" s="1"/>
      <c r="B22" s="66" t="s">
        <v>123</v>
      </c>
      <c r="C22" s="35">
        <v>2.8400000000000002E-2</v>
      </c>
      <c r="D22" s="1"/>
    </row>
    <row r="23" spans="1:4" x14ac:dyDescent="0.25">
      <c r="A23" s="1"/>
      <c r="B23" s="66" t="s">
        <v>146</v>
      </c>
      <c r="C23" s="35">
        <v>2.75E-2</v>
      </c>
      <c r="D23" s="1"/>
    </row>
    <row r="24" spans="1:4" x14ac:dyDescent="0.25">
      <c r="A24" s="1"/>
      <c r="B24" s="66" t="s">
        <v>218</v>
      </c>
      <c r="C24" s="35">
        <v>1.4800000000000001E-2</v>
      </c>
      <c r="D24" s="1"/>
    </row>
    <row r="25" spans="1:4" x14ac:dyDescent="0.25">
      <c r="A25" s="1"/>
      <c r="B25" s="54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4" t="s">
        <v>107</v>
      </c>
      <c r="C28" s="20"/>
      <c r="D28" s="1"/>
    </row>
    <row r="29" spans="1:4" x14ac:dyDescent="0.25">
      <c r="A29" s="1"/>
      <c r="B29" s="66" t="s">
        <v>124</v>
      </c>
      <c r="C29" s="26">
        <v>0.02</v>
      </c>
      <c r="D29" s="1"/>
    </row>
    <row r="30" spans="1:4" x14ac:dyDescent="0.25">
      <c r="A30" s="1"/>
      <c r="B30" s="54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7jSYK2jYxHl/vBjltkm9glOKuNI87qMETTLua+dOQcrHShvDs3LTA1zgZnadI1W1niGieZc4qCWz/E4d4v6Lug==" saltValue="hFxmTiMhBu+UWD7D4zVpJA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x14ac:dyDescent="0.25">
      <c r="A9" s="1"/>
      <c r="B9" s="59" t="s">
        <v>24</v>
      </c>
      <c r="C9" s="7">
        <f>'Fane 3. Omkostninger i ØR2021'!E20</f>
        <v>26099931.837411582</v>
      </c>
      <c r="D9" s="8" t="s">
        <v>3</v>
      </c>
      <c r="E9" s="1"/>
    </row>
    <row r="10" spans="1:5" x14ac:dyDescent="0.25">
      <c r="A10" s="1"/>
      <c r="B10" s="50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74509.30216813086</v>
      </c>
      <c r="D10" s="8" t="s">
        <v>3</v>
      </c>
      <c r="E10" s="1"/>
    </row>
    <row r="11" spans="1:5" x14ac:dyDescent="0.25">
      <c r="A11" s="1"/>
      <c r="B11" s="50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279349.80328063603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tillæg'!C16</f>
        <v>778452.44360000012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tillæg'!E16</f>
        <v>367567.98470000003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322201.03582981136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-477730.71500012593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-365791.76783092297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-316122.75071300659</v>
      </c>
      <c r="D21" s="8" t="s">
        <v>3</v>
      </c>
      <c r="E21" s="1"/>
    </row>
    <row r="22" spans="1:5" ht="17.100000000000001" customHeight="1" x14ac:dyDescent="0.25">
      <c r="A22" s="1"/>
      <c r="B22" s="68" t="s">
        <v>20</v>
      </c>
      <c r="C22" s="10">
        <f>SUM(C9,C12:C21)</f>
        <v>26408508.06799734</v>
      </c>
      <c r="D22" s="11" t="s">
        <v>3</v>
      </c>
      <c r="E22" s="1"/>
    </row>
    <row r="23" spans="1:5" ht="15" customHeight="1" x14ac:dyDescent="0.25">
      <c r="A23" s="1"/>
      <c r="B23" s="54" t="s">
        <v>12</v>
      </c>
      <c r="C23" s="55"/>
      <c r="D23" s="20"/>
      <c r="E23" s="1"/>
    </row>
    <row r="24" spans="1:5" ht="15" customHeight="1" x14ac:dyDescent="0.25">
      <c r="A24" s="1"/>
      <c r="B24" s="56" t="s">
        <v>12</v>
      </c>
      <c r="C24" s="10">
        <f>'Fane 6. Ikke-påvirkelige omk.'!C15</f>
        <v>27215714.474268645</v>
      </c>
      <c r="D24" s="11" t="s">
        <v>3</v>
      </c>
      <c r="E24" s="1"/>
    </row>
    <row r="25" spans="1:5" ht="15" customHeight="1" x14ac:dyDescent="0.25">
      <c r="A25" s="1"/>
      <c r="B25" s="54" t="s">
        <v>89</v>
      </c>
      <c r="C25" s="55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8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5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-415327.7354706116</v>
      </c>
      <c r="D30" s="11" t="s">
        <v>3</v>
      </c>
      <c r="E30" s="1"/>
    </row>
    <row r="31" spans="1:5" x14ac:dyDescent="0.25">
      <c r="A31" s="1"/>
      <c r="B31" s="36" t="s">
        <v>225</v>
      </c>
      <c r="C31" s="55"/>
      <c r="D31" s="20"/>
      <c r="E31" s="1"/>
    </row>
    <row r="32" spans="1:5" x14ac:dyDescent="0.25">
      <c r="A32" s="1"/>
      <c r="B32" s="67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4" t="s">
        <v>30</v>
      </c>
      <c r="C33" s="31">
        <f>SUM(C22,C24,C28,C30,C32)</f>
        <v>53208894.806795374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YeoDUmG1z9GfaI2eEtq2yHf3Bwwton7Bcj1gw90QfeOpsLpxCsVA/ylxR/lga3R7quYgyH1gn3NHc1ggjyD5yA==" saltValue="CvkkXCKkP0MrwaUF5IYng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ht="15" customHeight="1" x14ac:dyDescent="0.25">
      <c r="A9" s="1"/>
      <c r="B9" s="59" t="s">
        <v>134</v>
      </c>
      <c r="C9" s="7">
        <f>'Fane 2.1. Økonomisk ramme 2022'!C22</f>
        <v>26408508.06799734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50" t="s">
        <v>18</v>
      </c>
      <c r="C12" s="9">
        <f>SUM(C9:C11)*'Fane 12. Nøgletal'!C14</f>
        <v>87148.076624391222</v>
      </c>
      <c r="D12" s="8" t="s">
        <v>3</v>
      </c>
      <c r="E12" s="1"/>
    </row>
    <row r="13" spans="1:5" ht="15" customHeight="1" x14ac:dyDescent="0.25">
      <c r="A13" s="1"/>
      <c r="B13" s="50" t="s">
        <v>9</v>
      </c>
      <c r="C13" s="9">
        <f>-SUM(C9:C12)*'Fane 5. Individuelt eff. krav'!G10</f>
        <v>-459145.32670782466</v>
      </c>
      <c r="D13" s="8" t="s">
        <v>3</v>
      </c>
      <c r="E13" s="1"/>
    </row>
    <row r="14" spans="1:5" ht="15" customHeight="1" x14ac:dyDescent="0.25">
      <c r="A14" s="1"/>
      <c r="B14" s="50" t="s">
        <v>25</v>
      </c>
      <c r="C14" s="9">
        <f>-'Fane 4.1. Gen. krav - drift'!G44</f>
        <v>-359658.90305146977</v>
      </c>
      <c r="D14" s="8" t="s">
        <v>3</v>
      </c>
      <c r="E14" s="1"/>
    </row>
    <row r="15" spans="1:5" ht="15" customHeight="1" x14ac:dyDescent="0.25">
      <c r="A15" s="1"/>
      <c r="B15" s="50" t="s">
        <v>26</v>
      </c>
      <c r="C15" s="9">
        <f>-'Fane 4.2. Gen. krav - anlæg'!G44</f>
        <v>-168527.79686478176</v>
      </c>
      <c r="D15" s="8" t="s">
        <v>3</v>
      </c>
      <c r="E15" s="1"/>
    </row>
    <row r="16" spans="1:5" ht="15" customHeight="1" x14ac:dyDescent="0.25">
      <c r="A16" s="1"/>
      <c r="B16" s="51" t="s">
        <v>20</v>
      </c>
      <c r="C16" s="10">
        <f>SUM(C9:C15)</f>
        <v>25508324.117997654</v>
      </c>
      <c r="D16" s="11" t="s">
        <v>3</v>
      </c>
      <c r="E16" s="1"/>
    </row>
    <row r="17" spans="1:5" x14ac:dyDescent="0.25">
      <c r="A17" s="1"/>
      <c r="B17" s="54" t="s">
        <v>12</v>
      </c>
      <c r="C17" s="55"/>
      <c r="D17" s="20"/>
      <c r="E17" s="1"/>
    </row>
    <row r="18" spans="1:5" ht="15" customHeight="1" x14ac:dyDescent="0.25">
      <c r="A18" s="1"/>
      <c r="B18" s="56" t="s">
        <v>12</v>
      </c>
      <c r="C18" s="10">
        <f>'Fane 6. Ikke-påvirkelige omk.'!C15*(1+'Fane 12. Nøgletal'!C14)</f>
        <v>27305526.332033735</v>
      </c>
      <c r="D18" s="11" t="s">
        <v>3</v>
      </c>
      <c r="E18" s="1"/>
    </row>
    <row r="19" spans="1:5" ht="15" customHeight="1" x14ac:dyDescent="0.25">
      <c r="A19" s="1"/>
      <c r="B19" s="54" t="s">
        <v>89</v>
      </c>
      <c r="C19" s="55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8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5"/>
      <c r="D23" s="20"/>
      <c r="E23" s="1"/>
    </row>
    <row r="24" spans="1:5" ht="15" customHeight="1" x14ac:dyDescent="0.25">
      <c r="A24" s="1"/>
      <c r="B24" s="67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225</v>
      </c>
      <c r="C25" s="55"/>
      <c r="D25" s="20"/>
      <c r="E25" s="1"/>
    </row>
    <row r="26" spans="1:5" x14ac:dyDescent="0.25">
      <c r="A26" s="1"/>
      <c r="B26" s="67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4" t="s">
        <v>97</v>
      </c>
      <c r="C27" s="12">
        <f>SUM(C16,C18,C22,C24,C26)</f>
        <v>52813850.450031385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dO8URTRsAnEY+QpZq1CgkaFMuCLW2E7zEWwm4ZeCjqfq6y1+mEiBAm52WjihF7R8+sMGmC34yTh44X3bUSOqBw==" saltValue="RQGzZjqyX/gDYnZifD+6a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9" t="s">
        <v>135</v>
      </c>
      <c r="C8" s="7">
        <f>'Fane 2.2. Økonomisk ramme 2023'!C16</f>
        <v>25508324.117997654</v>
      </c>
      <c r="D8" s="8" t="s">
        <v>3</v>
      </c>
      <c r="E8" s="1"/>
    </row>
    <row r="9" spans="1:5" ht="15" customHeight="1" x14ac:dyDescent="0.25">
      <c r="A9" s="1"/>
      <c r="B9" s="59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9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50" t="s">
        <v>18</v>
      </c>
      <c r="C11" s="9">
        <f>SUM(C8:C10)*'Fane 12. Nøgletal'!C14</f>
        <v>84177.469589392262</v>
      </c>
      <c r="D11" s="8" t="s">
        <v>3</v>
      </c>
      <c r="E11" s="1"/>
    </row>
    <row r="12" spans="1:5" ht="15" customHeight="1" x14ac:dyDescent="0.25">
      <c r="A12" s="1"/>
      <c r="B12" s="50" t="s">
        <v>9</v>
      </c>
      <c r="C12" s="9">
        <f>-SUM(C8:C11)*'Fane 5. Individuelt eff. krav'!G10</f>
        <v>-443494.48975953774</v>
      </c>
      <c r="D12" s="8" t="s">
        <v>3</v>
      </c>
      <c r="E12" s="1"/>
    </row>
    <row r="13" spans="1:5" ht="15" customHeight="1" x14ac:dyDescent="0.25">
      <c r="A13" s="1"/>
      <c r="B13" s="50" t="s">
        <v>25</v>
      </c>
      <c r="C13" s="9">
        <f>-'Fane 4.1. Gen. krav - drift'!G50</f>
        <v>-353628.86188290885</v>
      </c>
      <c r="D13" s="8" t="s">
        <v>3</v>
      </c>
      <c r="E13" s="1"/>
    </row>
    <row r="14" spans="1:5" ht="15" customHeight="1" x14ac:dyDescent="0.25">
      <c r="A14" s="1"/>
      <c r="B14" s="50" t="s">
        <v>26</v>
      </c>
      <c r="C14" s="42">
        <f>-'Fane 4.2. Gen. krav - anlæg'!G50</f>
        <v>-166581.49630323792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24628796.739641361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56" t="s">
        <v>12</v>
      </c>
      <c r="C17" s="10">
        <f>'Fane 6. Ikke-påvirkelige omk.'!C15*(1+'Fane 12. Nøgletal'!C14)^2</f>
        <v>27395634.568929449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8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56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5"/>
      <c r="D24" s="20"/>
      <c r="E24" s="1"/>
    </row>
    <row r="25" spans="1:5" ht="15" customHeight="1" x14ac:dyDescent="0.25">
      <c r="A25" s="1"/>
      <c r="B25" s="67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187</v>
      </c>
      <c r="C26" s="12">
        <f>SUM(C15,C17,C21,C23,C25)</f>
        <v>52024431.30857081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YIEnMW6VXsfuRx242vttS2ypdhrH1Lpv9MF+fPGRHpOF7YXrrbi8VvAmC0g9Q9LuOtkTLlzHO5T4+4s8MAmtRQ==" saltValue="h1POjYd1e0A2C/Dmoihx1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9" t="s">
        <v>189</v>
      </c>
      <c r="C8" s="7">
        <f>'Fane 2.3. Økonomisk ramme 2024'!C15</f>
        <v>24628796.739641361</v>
      </c>
      <c r="D8" s="8" t="s">
        <v>3</v>
      </c>
      <c r="E8" s="1"/>
    </row>
    <row r="9" spans="1:5" ht="15" customHeight="1" x14ac:dyDescent="0.25">
      <c r="A9" s="1"/>
      <c r="B9" s="59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9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50" t="s">
        <v>18</v>
      </c>
      <c r="C11" s="9">
        <f>SUM(C8:C10)*'Fane 12. Nøgletal'!C14</f>
        <v>81275.029240816497</v>
      </c>
      <c r="D11" s="8" t="s">
        <v>3</v>
      </c>
      <c r="E11" s="1"/>
    </row>
    <row r="12" spans="1:5" ht="15" customHeight="1" x14ac:dyDescent="0.25">
      <c r="A12" s="1"/>
      <c r="B12" s="50" t="s">
        <v>9</v>
      </c>
      <c r="C12" s="9">
        <f>-SUM(C8:C11)*'Fane 5. Individuelt eff. krav'!G10</f>
        <v>-428202.79344545281</v>
      </c>
      <c r="D12" s="8" t="s">
        <v>3</v>
      </c>
      <c r="E12" s="1"/>
    </row>
    <row r="13" spans="1:5" ht="15" customHeight="1" x14ac:dyDescent="0.25">
      <c r="A13" s="1"/>
      <c r="B13" s="50" t="s">
        <v>25</v>
      </c>
      <c r="C13" s="9">
        <f>-'Fane 4.1. Gen. krav - drift'!G56</f>
        <v>-347699.92038458004</v>
      </c>
      <c r="D13" s="8" t="s">
        <v>3</v>
      </c>
      <c r="E13" s="1"/>
    </row>
    <row r="14" spans="1:5" ht="15" customHeight="1" x14ac:dyDescent="0.25">
      <c r="A14" s="1"/>
      <c r="B14" s="50" t="s">
        <v>26</v>
      </c>
      <c r="C14" s="9">
        <f>-'Fane 4.2. Gen. krav - anlæg'!G56</f>
        <v>-164657.67325547122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23769511.381796677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56" t="s">
        <v>12</v>
      </c>
      <c r="C17" s="10">
        <f>'Fane 6. Ikke-påvirkelige omk.'!C15*(1+'Fane 12. Nøgletal'!C14)^3</f>
        <v>27486040.163006917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8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56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225</v>
      </c>
      <c r="C24" s="55"/>
      <c r="D24" s="20"/>
      <c r="E24" s="1"/>
    </row>
    <row r="25" spans="1:5" x14ac:dyDescent="0.25">
      <c r="A25" s="1"/>
      <c r="B25" s="67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190</v>
      </c>
      <c r="C26" s="12">
        <f>SUM(C15,C17,C21,C23,C25)</f>
        <v>51255551.54480359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OHuGwtvwkaXzbiSxE5k2dco9bA2MAVfcHqCneO82hXhJJxsleGmxxj826oYaBwx5bj4vPHc05ftxzwLtEZng0Q==" saltValue="BYCmb2tB+atzrHH3VR48n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191</v>
      </c>
      <c r="C3" s="108"/>
      <c r="D3" s="108"/>
      <c r="E3" s="108"/>
      <c r="F3" s="108"/>
      <c r="G3" s="1"/>
    </row>
    <row r="4" spans="1:7" ht="29.2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224</v>
      </c>
      <c r="C8" s="55"/>
      <c r="D8" s="55"/>
      <c r="E8" s="55"/>
      <c r="F8" s="20"/>
      <c r="G8" s="1"/>
    </row>
    <row r="9" spans="1:7" x14ac:dyDescent="0.25">
      <c r="A9" s="1"/>
      <c r="B9" s="109" t="s">
        <v>23</v>
      </c>
      <c r="C9" s="110"/>
      <c r="D9" s="111"/>
      <c r="E9" s="7">
        <v>26546865.783628929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76465.636799999993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288935.52659999998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328329.65675375296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-472054.45900605462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v>-353010.96127010207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v>-315599.3460949412</v>
      </c>
      <c r="F19" s="8" t="s">
        <v>3</v>
      </c>
      <c r="G19" s="1"/>
    </row>
    <row r="20" spans="1:7" x14ac:dyDescent="0.25">
      <c r="A20" s="1"/>
      <c r="B20" s="97" t="s">
        <v>20</v>
      </c>
      <c r="C20" s="98"/>
      <c r="D20" s="99"/>
      <c r="E20" s="10">
        <f>SUM(E9:E19)</f>
        <v>26099931.837411582</v>
      </c>
      <c r="F20" s="11" t="s">
        <v>3</v>
      </c>
      <c r="G20" s="1"/>
    </row>
    <row r="21" spans="1:7" x14ac:dyDescent="0.25">
      <c r="A21" s="1"/>
      <c r="B21" s="54" t="s">
        <v>12</v>
      </c>
      <c r="C21" s="55"/>
      <c r="D21" s="55"/>
      <c r="E21" s="55"/>
      <c r="F21" s="20"/>
      <c r="G21" s="1"/>
    </row>
    <row r="22" spans="1:7" x14ac:dyDescent="0.25">
      <c r="A22" s="1"/>
      <c r="B22" s="105" t="s">
        <v>12</v>
      </c>
      <c r="C22" s="106"/>
      <c r="D22" s="107"/>
      <c r="E22" s="10">
        <v>30953334.52660932</v>
      </c>
      <c r="F22" s="11" t="s">
        <v>3</v>
      </c>
      <c r="G22" s="1"/>
    </row>
    <row r="23" spans="1:7" ht="15" customHeight="1" x14ac:dyDescent="0.25">
      <c r="A23" s="1"/>
      <c r="B23" s="103" t="s">
        <v>89</v>
      </c>
      <c r="C23" s="104"/>
      <c r="D23" s="104"/>
      <c r="E23" s="55"/>
      <c r="F23" s="55"/>
      <c r="G23" s="1"/>
    </row>
    <row r="24" spans="1:7" ht="14.25" customHeight="1" x14ac:dyDescent="0.25">
      <c r="A24" s="1"/>
      <c r="B24" s="91" t="s">
        <v>85</v>
      </c>
      <c r="C24" s="92"/>
      <c r="D24" s="93"/>
      <c r="E24" s="9">
        <v>0</v>
      </c>
      <c r="F24" s="8" t="s">
        <v>3</v>
      </c>
      <c r="G24" s="1"/>
    </row>
    <row r="25" spans="1:7" ht="14.25" customHeight="1" x14ac:dyDescent="0.25">
      <c r="A25" s="1"/>
      <c r="B25" s="91" t="s">
        <v>86</v>
      </c>
      <c r="C25" s="92"/>
      <c r="D25" s="93"/>
      <c r="E25" s="9">
        <v>0</v>
      </c>
      <c r="F25" s="8" t="s">
        <v>3</v>
      </c>
      <c r="G25" s="1"/>
    </row>
    <row r="26" spans="1:7" x14ac:dyDescent="0.25">
      <c r="A26" s="1"/>
      <c r="B26" s="100" t="s">
        <v>90</v>
      </c>
      <c r="C26" s="101"/>
      <c r="D26" s="101"/>
      <c r="E26" s="10">
        <v>0</v>
      </c>
      <c r="F26" s="11" t="s">
        <v>3</v>
      </c>
      <c r="G26" s="1"/>
    </row>
    <row r="27" spans="1:7" x14ac:dyDescent="0.25">
      <c r="A27" s="1"/>
      <c r="B27" s="54" t="s">
        <v>161</v>
      </c>
      <c r="C27" s="55"/>
      <c r="D27" s="55"/>
      <c r="E27" s="55"/>
      <c r="F27" s="20"/>
      <c r="G27" s="1"/>
    </row>
    <row r="28" spans="1:7" ht="15" customHeight="1" x14ac:dyDescent="0.25">
      <c r="A28" s="1"/>
      <c r="B28" s="100" t="s">
        <v>162</v>
      </c>
      <c r="C28" s="101"/>
      <c r="D28" s="102"/>
      <c r="E28" s="10">
        <v>-489671.07896670327</v>
      </c>
      <c r="F28" s="11" t="s">
        <v>3</v>
      </c>
      <c r="G28" s="1"/>
    </row>
    <row r="29" spans="1:7" x14ac:dyDescent="0.25">
      <c r="A29" s="1"/>
      <c r="B29" s="54" t="s">
        <v>251</v>
      </c>
      <c r="C29" s="55"/>
      <c r="D29" s="55"/>
      <c r="E29" s="55"/>
      <c r="F29" s="20"/>
      <c r="G29" s="1"/>
    </row>
    <row r="30" spans="1:7" ht="15.6" customHeight="1" x14ac:dyDescent="0.25">
      <c r="A30" s="1"/>
      <c r="B30" s="105" t="s">
        <v>252</v>
      </c>
      <c r="C30" s="106"/>
      <c r="D30" s="107"/>
      <c r="E30" s="10">
        <v>0</v>
      </c>
      <c r="F30" s="11" t="s">
        <v>3</v>
      </c>
      <c r="G30" s="1"/>
    </row>
    <row r="31" spans="1:7" x14ac:dyDescent="0.25">
      <c r="A31" s="1"/>
      <c r="B31" s="54" t="s">
        <v>29</v>
      </c>
      <c r="C31" s="55"/>
      <c r="D31" s="55"/>
      <c r="E31" s="12">
        <f>E20+E22+E26+E28+E30</f>
        <v>56563595.285054192</v>
      </c>
      <c r="F31" s="13" t="s">
        <v>3</v>
      </c>
      <c r="G31" s="1"/>
    </row>
    <row r="32" spans="1:7" ht="27.75" customHeight="1" x14ac:dyDescent="0.25">
      <c r="A32" s="1"/>
      <c r="B32" s="91" t="s">
        <v>192</v>
      </c>
      <c r="C32" s="92"/>
      <c r="D32" s="92"/>
      <c r="E32" s="92"/>
      <c r="F32" s="9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jVl8qB6XKaz/A9vYKLdJWgiWoweERQ8awB3H5XuEPyn7hls9qjrkN3KtMmUxYaX3JWjjEQeWrgmIawailVhnfg==" saltValue="mWp25ZIOjSTyGxSivg9q7g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8" t="s">
        <v>115</v>
      </c>
      <c r="C1" s="108"/>
      <c r="D1" s="108"/>
      <c r="E1" s="108"/>
      <c r="F1" s="108"/>
      <c r="G1" s="108"/>
      <c r="H1" s="108"/>
      <c r="I1" s="1"/>
    </row>
    <row r="2" spans="1:9" ht="15" customHeight="1" x14ac:dyDescent="0.25">
      <c r="A2" s="1"/>
      <c r="B2" s="108"/>
      <c r="C2" s="108"/>
      <c r="D2" s="108"/>
      <c r="E2" s="108"/>
      <c r="F2" s="108"/>
      <c r="G2" s="108"/>
      <c r="H2" s="108"/>
      <c r="I2" s="1"/>
    </row>
    <row r="3" spans="1:9" ht="1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43</v>
      </c>
      <c r="C5" s="113"/>
      <c r="D5" s="113"/>
      <c r="E5" s="113"/>
      <c r="F5" s="114"/>
      <c r="G5" s="24">
        <v>17899150.102455098</v>
      </c>
      <c r="H5" s="14" t="s">
        <v>3</v>
      </c>
      <c r="I5" s="1"/>
    </row>
    <row r="6" spans="1:9" x14ac:dyDescent="0.25">
      <c r="A6" s="1"/>
      <c r="B6" s="112" t="s">
        <v>44</v>
      </c>
      <c r="C6" s="113"/>
      <c r="D6" s="113"/>
      <c r="E6" s="113"/>
      <c r="F6" s="114"/>
      <c r="G6" s="24">
        <f>G5*'Fane 12. Nøgletal'!C29</f>
        <v>357983.00204910198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45</v>
      </c>
      <c r="C10" s="113"/>
      <c r="D10" s="113"/>
      <c r="E10" s="113"/>
      <c r="F10" s="114"/>
      <c r="G10" s="24">
        <f>(G5-G6)*(1+'Fane 12. Nøgletal'!C9)</f>
        <v>17763939.922581151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47</v>
      </c>
      <c r="C12" s="113"/>
      <c r="D12" s="113"/>
      <c r="E12" s="113"/>
      <c r="F12" s="114"/>
      <c r="G12" s="24">
        <f>(G10+G11)*'Fane 12. Nøgletal'!C29</f>
        <v>355278.79845162301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48</v>
      </c>
      <c r="C16" s="113"/>
      <c r="D16" s="113"/>
      <c r="E16" s="113"/>
      <c r="F16" s="114"/>
      <c r="G16" s="24">
        <f>(G10+G11-G12)*(1+'Fane 12. Nøgletal'!C11)</f>
        <v>17702867.497127313</v>
      </c>
      <c r="H16" s="14" t="s">
        <v>3</v>
      </c>
      <c r="I16" s="1"/>
    </row>
    <row r="17" spans="1:9" x14ac:dyDescent="0.25">
      <c r="A17" s="1"/>
      <c r="B17" s="112" t="s">
        <v>125</v>
      </c>
      <c r="C17" s="113"/>
      <c r="D17" s="113"/>
      <c r="E17" s="113"/>
      <c r="F17" s="114"/>
      <c r="G17" s="24">
        <v>0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2" t="s">
        <v>50</v>
      </c>
      <c r="C19" s="113"/>
      <c r="D19" s="113"/>
      <c r="E19" s="113"/>
      <c r="F19" s="114"/>
      <c r="G19" s="24">
        <f>SUM(G16:G18)*'Fane 12. Nøgletal'!C29</f>
        <v>354057.34994254628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51</v>
      </c>
      <c r="C23" s="113"/>
      <c r="D23" s="113"/>
      <c r="E23" s="113"/>
      <c r="F23" s="114"/>
      <c r="G23" s="24">
        <f>(SUM(G16:G18)-G19)*(1+'Fane 12. Nøgletal'!C11)</f>
        <v>17642005.038672186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73649.23020279</v>
      </c>
      <c r="H24" s="14" t="s">
        <v>3</v>
      </c>
      <c r="I24" s="1"/>
    </row>
    <row r="25" spans="1:9" x14ac:dyDescent="0.25">
      <c r="A25" s="1"/>
      <c r="B25" s="112" t="s">
        <v>53</v>
      </c>
      <c r="C25" s="113"/>
      <c r="D25" s="113"/>
      <c r="E25" s="113"/>
      <c r="F25" s="114"/>
      <c r="G25" s="24">
        <f>(G23+G24)*'Fane 12. Nøgletal'!C29</f>
        <v>354313.08537749952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60</v>
      </c>
      <c r="C29" s="113"/>
      <c r="D29" s="113"/>
      <c r="E29" s="113"/>
      <c r="F29" s="114"/>
      <c r="G29" s="24">
        <f>(G23+G24-G25)*(1+'Fane 12. Nøgletal'!C13)</f>
        <v>17573149.545936145</v>
      </c>
      <c r="H29" s="14" t="s">
        <v>3</v>
      </c>
      <c r="I29" s="1"/>
    </row>
    <row r="30" spans="1:9" x14ac:dyDescent="0.25">
      <c r="A30" s="1"/>
      <c r="B30" s="112" t="s">
        <v>147</v>
      </c>
      <c r="C30" s="113"/>
      <c r="D30" s="113"/>
      <c r="E30" s="113"/>
      <c r="F30" s="114"/>
      <c r="G30" s="24">
        <f>SUM('Fane 3. Omkostninger i ØR2021'!E10,'Fane 3. Omkostninger i ØR2021'!E12,'Fane 3. Omkostninger i ØR2021'!E14)*(1+'Fane 12. Nøgletal'!C13)</f>
        <v>77398.517568959986</v>
      </c>
      <c r="H30" s="14" t="s">
        <v>3</v>
      </c>
      <c r="I30" s="1"/>
    </row>
    <row r="31" spans="1:9" x14ac:dyDescent="0.25">
      <c r="A31" s="1"/>
      <c r="B31" s="112" t="s">
        <v>159</v>
      </c>
      <c r="C31" s="113"/>
      <c r="D31" s="113"/>
      <c r="E31" s="113"/>
      <c r="F31" s="114"/>
      <c r="G31" s="24">
        <f>(G29+G30)*'Fane 12. Nøgletal'!C29</f>
        <v>353010.96127010213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80</v>
      </c>
      <c r="C35" s="113"/>
      <c r="D35" s="113"/>
      <c r="E35" s="113"/>
      <c r="F35" s="114"/>
      <c r="G35" s="24">
        <f>(G29+G30-G31)*(1+'Fane 12. Nøgletal'!C13)</f>
        <v>17508567.054882269</v>
      </c>
      <c r="H35" s="14" t="s">
        <v>3</v>
      </c>
      <c r="I35" s="1"/>
    </row>
    <row r="36" spans="1:9" x14ac:dyDescent="0.25">
      <c r="A36" s="1"/>
      <c r="B36" s="37" t="s">
        <v>193</v>
      </c>
      <c r="C36" s="61"/>
      <c r="D36" s="61"/>
      <c r="E36" s="61"/>
      <c r="F36" s="62"/>
      <c r="G36" s="24">
        <f>SUM('Fane 2.1. Økonomisk ramme 2022'!C10)*(1+'Fane 12. Nøgletal'!C14)</f>
        <v>74755.182865285693</v>
      </c>
      <c r="H36" s="14" t="s">
        <v>3</v>
      </c>
      <c r="I36" s="1"/>
    </row>
    <row r="37" spans="1:9" x14ac:dyDescent="0.25">
      <c r="A37" s="1"/>
      <c r="B37" s="112" t="s">
        <v>222</v>
      </c>
      <c r="C37" s="113"/>
      <c r="D37" s="113"/>
      <c r="E37" s="113"/>
      <c r="F37" s="114"/>
      <c r="G37" s="24">
        <f>SUM('Fane 2.1. Økonomisk ramme 2022'!C12,'Fane 2.1. Økonomisk ramme 2022'!C14,'Fane 2.1. Økonomisk ramme 2022'!C16)*(1+'Fane 12. Nøgletal'!C14)</f>
        <v>781021.33666388015</v>
      </c>
      <c r="H37" s="14" t="s">
        <v>3</v>
      </c>
      <c r="I37" s="1"/>
    </row>
    <row r="38" spans="1:9" x14ac:dyDescent="0.25">
      <c r="A38" s="1"/>
      <c r="B38" s="112" t="s">
        <v>177</v>
      </c>
      <c r="C38" s="113"/>
      <c r="D38" s="113"/>
      <c r="E38" s="113"/>
      <c r="F38" s="114"/>
      <c r="G38" s="24">
        <f>(G35+G37)*'Fane 12. Nøgletal'!C29</f>
        <v>365791.76783092297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79</v>
      </c>
      <c r="C42" s="113"/>
      <c r="D42" s="113"/>
      <c r="E42" s="113"/>
      <c r="F42" s="114"/>
      <c r="G42" s="24">
        <f>(G35+G37-G38)*(1+'Fane 12. Nøgletal'!C14)</f>
        <v>17982945.152573489</v>
      </c>
      <c r="H42" s="14" t="s">
        <v>3</v>
      </c>
      <c r="I42" s="1"/>
    </row>
    <row r="43" spans="1:9" x14ac:dyDescent="0.25">
      <c r="A43" s="1"/>
      <c r="B43" s="112" t="s">
        <v>92</v>
      </c>
      <c r="C43" s="113"/>
      <c r="D43" s="113"/>
      <c r="E43" s="113"/>
      <c r="F43" s="114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2" t="s">
        <v>61</v>
      </c>
      <c r="C44" s="113"/>
      <c r="D44" s="113"/>
      <c r="E44" s="113"/>
      <c r="F44" s="114"/>
      <c r="G44" s="24">
        <f>(G42+G43)*'Fane 12. Nøgletal'!C29</f>
        <v>359658.90305146977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149</v>
      </c>
      <c r="C48" s="113"/>
      <c r="D48" s="113"/>
      <c r="E48" s="113"/>
      <c r="F48" s="114"/>
      <c r="G48" s="24">
        <f>(G42+G43-G44)*(1+'Fane 12. Nøgletal'!C14)</f>
        <v>17681443.094145443</v>
      </c>
      <c r="H48" s="14" t="s">
        <v>3</v>
      </c>
      <c r="I48" s="1"/>
    </row>
    <row r="49" spans="1:9" x14ac:dyDescent="0.25">
      <c r="A49" s="1"/>
      <c r="B49" s="112" t="s">
        <v>150</v>
      </c>
      <c r="C49" s="113"/>
      <c r="D49" s="113"/>
      <c r="E49" s="113"/>
      <c r="F49" s="114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2" t="s">
        <v>151</v>
      </c>
      <c r="C50" s="113"/>
      <c r="D50" s="113"/>
      <c r="E50" s="113"/>
      <c r="F50" s="114"/>
      <c r="G50" s="24">
        <f>(G48+G49)*'Fane 12. Nøgletal'!C29</f>
        <v>353628.86188290885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199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200</v>
      </c>
      <c r="C54" s="113"/>
      <c r="D54" s="113"/>
      <c r="E54" s="113"/>
      <c r="F54" s="114"/>
      <c r="G54" s="24">
        <f>(G48+G49-G50)*(1+'Fane 12. Nøgletal'!C14)</f>
        <v>17384996.019229002</v>
      </c>
      <c r="H54" s="14" t="s">
        <v>3</v>
      </c>
      <c r="I54" s="1"/>
    </row>
    <row r="55" spans="1:9" x14ac:dyDescent="0.25">
      <c r="A55" s="1"/>
      <c r="B55" s="112" t="s">
        <v>201</v>
      </c>
      <c r="C55" s="113"/>
      <c r="D55" s="113"/>
      <c r="E55" s="113"/>
      <c r="F55" s="114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2" t="s">
        <v>202</v>
      </c>
      <c r="C56" s="113"/>
      <c r="D56" s="113"/>
      <c r="E56" s="113"/>
      <c r="F56" s="114"/>
      <c r="G56" s="24">
        <f>(G54+G55)*'Fane 12. Nøgletal'!C29</f>
        <v>347699.92038458004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wWDmC2cTRbjO0/SjOxyYHxJFr+KO/44R/U0ezXFuSwZloJ2DPU31lJG0QBWovWKLxWjjHP5vKZSSFg4403Ya3w==" saltValue="djGK/lRTS2mSGgiu8puOgQ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62</v>
      </c>
      <c r="C5" s="113"/>
      <c r="D5" s="113"/>
      <c r="E5" s="113"/>
      <c r="F5" s="114"/>
      <c r="G5" s="24">
        <v>10146511.14422214</v>
      </c>
      <c r="H5" s="14" t="s">
        <v>3</v>
      </c>
      <c r="I5" s="1"/>
    </row>
    <row r="6" spans="1:9" x14ac:dyDescent="0.25">
      <c r="A6" s="1"/>
      <c r="B6" s="112" t="s">
        <v>59</v>
      </c>
      <c r="C6" s="113"/>
      <c r="D6" s="113"/>
      <c r="E6" s="113"/>
      <c r="F6" s="114"/>
      <c r="G6" s="24">
        <f>G5*'Fane 12. Nøgletal'!C19</f>
        <v>92333.251412421479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64</v>
      </c>
      <c r="C10" s="113"/>
      <c r="D10" s="113"/>
      <c r="E10" s="113"/>
      <c r="F10" s="114"/>
      <c r="G10" s="24">
        <f>(G5-G6)*(1+'Fane 12. Nøgletal'!C9)</f>
        <v>10181865.952048402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66</v>
      </c>
      <c r="C12" s="113"/>
      <c r="D12" s="113"/>
      <c r="E12" s="113"/>
      <c r="F12" s="114"/>
      <c r="G12" s="24">
        <f>G10*'Fane 12. Nøgletal'!C19+G11*'Fane 12. Nøgletal'!C20</f>
        <v>92654.980163640459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68</v>
      </c>
      <c r="C16" s="113"/>
      <c r="D16" s="113"/>
      <c r="E16" s="113"/>
      <c r="F16" s="114"/>
      <c r="G16" s="24">
        <f>(G10+G11-G12)*(1+'Fane 12. Nøgletal'!C11)</f>
        <v>10259718.637309613</v>
      </c>
      <c r="H16" s="14" t="s">
        <v>3</v>
      </c>
      <c r="I16" s="1"/>
    </row>
    <row r="17" spans="1:9" x14ac:dyDescent="0.25">
      <c r="A17" s="1"/>
      <c r="B17" s="112" t="s">
        <v>126</v>
      </c>
      <c r="C17" s="113"/>
      <c r="D17" s="113"/>
      <c r="E17" s="113"/>
      <c r="F17" s="114"/>
      <c r="G17" s="24">
        <v>129414.28448585492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659073.42944789003</v>
      </c>
      <c r="H18" s="14" t="s">
        <v>3</v>
      </c>
      <c r="I18" s="1"/>
    </row>
    <row r="19" spans="1:9" x14ac:dyDescent="0.25">
      <c r="A19" s="1"/>
      <c r="B19" s="112" t="s">
        <v>70</v>
      </c>
      <c r="C19" s="113"/>
      <c r="D19" s="113"/>
      <c r="E19" s="113"/>
      <c r="F19" s="114"/>
      <c r="G19" s="24">
        <f>(G16+G17+G18)*'Fane 12. Nøgletal'!C21</f>
        <v>96119.395255817188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72</v>
      </c>
      <c r="C23" s="113"/>
      <c r="D23" s="113"/>
      <c r="E23" s="113"/>
      <c r="F23" s="114"/>
      <c r="G23" s="24">
        <f>(SUM(G16:G18)-G19)*(1+'Fane 12. Nøgletal'!C11)</f>
        <v>11137177.225543728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9053.8820085087009</v>
      </c>
      <c r="H24" s="14" t="s">
        <v>3</v>
      </c>
      <c r="I24" s="1"/>
    </row>
    <row r="25" spans="1:9" x14ac:dyDescent="0.25">
      <c r="A25" s="1"/>
      <c r="B25" s="112" t="s">
        <v>74</v>
      </c>
      <c r="C25" s="113"/>
      <c r="D25" s="113"/>
      <c r="E25" s="113"/>
      <c r="F25" s="114"/>
      <c r="G25" s="24">
        <f>G23*'Fane 12. Nøgletal'!C21+G24*'Fane 12. Nøgletal'!C22</f>
        <v>97150.572111272064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75</v>
      </c>
      <c r="C29" s="113"/>
      <c r="D29" s="113"/>
      <c r="E29" s="113"/>
      <c r="F29" s="114"/>
      <c r="G29" s="24">
        <f>(G23+G24-G25)*(1+'Fane 12. Nøgletal'!C13)</f>
        <v>11183879.317973344</v>
      </c>
      <c r="H29" s="14" t="s">
        <v>3</v>
      </c>
      <c r="I29" s="1"/>
    </row>
    <row r="30" spans="1:9" x14ac:dyDescent="0.25">
      <c r="A30" s="1"/>
      <c r="B30" s="112" t="s">
        <v>152</v>
      </c>
      <c r="C30" s="113"/>
      <c r="D30" s="113"/>
      <c r="E30" s="113"/>
      <c r="F30" s="114"/>
      <c r="G30" s="24">
        <v>292460.54002451996</v>
      </c>
      <c r="H30" s="14" t="s">
        <v>3</v>
      </c>
      <c r="I30" s="1"/>
    </row>
    <row r="31" spans="1:9" x14ac:dyDescent="0.25">
      <c r="A31" s="1"/>
      <c r="B31" s="112" t="s">
        <v>174</v>
      </c>
      <c r="C31" s="113"/>
      <c r="D31" s="113"/>
      <c r="E31" s="113"/>
      <c r="F31" s="114"/>
      <c r="G31" s="24">
        <f>(G29+G30)*'Fane 12. Nøgletal'!C23</f>
        <v>315599.34609494125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78</v>
      </c>
      <c r="C35" s="113"/>
      <c r="D35" s="113"/>
      <c r="E35" s="113"/>
      <c r="F35" s="114"/>
      <c r="G35" s="24">
        <f>(G29+G30-G31)*(1+'Fane 12. Nøgletal'!C13)</f>
        <v>11296901.546148138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24">
        <f>SUM('Fane 2.1. Økonomisk ramme 2022'!C11)*(1+'Fane 12. Nøgletal'!C14)</f>
        <v>280271.65763146215</v>
      </c>
      <c r="H36" s="14" t="s">
        <v>3</v>
      </c>
      <c r="I36" s="38"/>
    </row>
    <row r="37" spans="1:9" x14ac:dyDescent="0.25">
      <c r="A37" s="1"/>
      <c r="B37" s="112" t="s">
        <v>194</v>
      </c>
      <c r="C37" s="113"/>
      <c r="D37" s="113"/>
      <c r="E37" s="113"/>
      <c r="F37" s="114"/>
      <c r="G37" s="24">
        <f>SUM('Fane 2.1. Økonomisk ramme 2022'!C13,'Fane 2.1. Økonomisk ramme 2022'!C15,'Fane 2.1. Økonomisk ramme 2022'!C17)*(1+'Fane 12. Nøgletal'!C14)</f>
        <v>368780.95904951007</v>
      </c>
      <c r="H37" s="14" t="s">
        <v>3</v>
      </c>
      <c r="I37" s="1"/>
    </row>
    <row r="38" spans="1:9" x14ac:dyDescent="0.25">
      <c r="A38" s="1"/>
      <c r="B38" s="112" t="s">
        <v>179</v>
      </c>
      <c r="C38" s="113"/>
      <c r="D38" s="113"/>
      <c r="E38" s="113"/>
      <c r="F38" s="114"/>
      <c r="G38" s="24">
        <f>G35*'Fane 12. Nøgletal'!C23+G37*'Fane 12. Nøgletal'!C24</f>
        <v>316122.75071300659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77</v>
      </c>
      <c r="C42" s="113"/>
      <c r="D42" s="113"/>
      <c r="E42" s="113"/>
      <c r="F42" s="114"/>
      <c r="G42" s="24">
        <f>(G35+G37-G38)*(1+'Fane 12. Nøgletal'!C14)</f>
        <v>11387013.301674442</v>
      </c>
      <c r="H42" s="14" t="s">
        <v>3</v>
      </c>
      <c r="I42" s="1"/>
    </row>
    <row r="43" spans="1:9" x14ac:dyDescent="0.25">
      <c r="A43" s="1"/>
      <c r="B43" s="112" t="s">
        <v>96</v>
      </c>
      <c r="C43" s="113"/>
      <c r="D43" s="113"/>
      <c r="E43" s="113"/>
      <c r="F43" s="114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2" t="s">
        <v>76</v>
      </c>
      <c r="C44" s="113"/>
      <c r="D44" s="113"/>
      <c r="E44" s="113"/>
      <c r="F44" s="114"/>
      <c r="G44" s="24">
        <f>(G42+G43)*'Fane 12. Nøgletal'!C24</f>
        <v>168527.79686478176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153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154</v>
      </c>
      <c r="C48" s="113"/>
      <c r="D48" s="113"/>
      <c r="E48" s="113"/>
      <c r="F48" s="114"/>
      <c r="G48" s="24">
        <f>(G42+G43-G44)*(1+'Fane 12. Nøgletal'!C14)</f>
        <v>11255506.506975533</v>
      </c>
      <c r="H48" s="14" t="s">
        <v>3</v>
      </c>
      <c r="I48" s="1"/>
    </row>
    <row r="49" spans="1:9" x14ac:dyDescent="0.25">
      <c r="A49" s="1"/>
      <c r="B49" s="112" t="s">
        <v>155</v>
      </c>
      <c r="C49" s="113"/>
      <c r="D49" s="113"/>
      <c r="E49" s="113"/>
      <c r="F49" s="114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2" t="s">
        <v>156</v>
      </c>
      <c r="C50" s="113"/>
      <c r="D50" s="113"/>
      <c r="E50" s="113"/>
      <c r="F50" s="114"/>
      <c r="G50" s="24">
        <f>(G48+G49)*'Fane 12. Nøgletal'!C24</f>
        <v>166581.49630323792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195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196</v>
      </c>
      <c r="C54" s="113"/>
      <c r="D54" s="113"/>
      <c r="E54" s="113"/>
      <c r="F54" s="114"/>
      <c r="G54" s="24">
        <f>(G48+G49-G50)*(1+'Fane 12. Nøgletal'!C14)</f>
        <v>11125518.463207515</v>
      </c>
      <c r="H54" s="14" t="s">
        <v>3</v>
      </c>
      <c r="I54" s="1"/>
    </row>
    <row r="55" spans="1:9" x14ac:dyDescent="0.25">
      <c r="A55" s="1"/>
      <c r="B55" s="112" t="s">
        <v>197</v>
      </c>
      <c r="C55" s="113"/>
      <c r="D55" s="113"/>
      <c r="E55" s="113"/>
      <c r="F55" s="114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2" t="s">
        <v>198</v>
      </c>
      <c r="C56" s="113"/>
      <c r="D56" s="113"/>
      <c r="E56" s="113"/>
      <c r="F56" s="114"/>
      <c r="G56" s="24">
        <f>(G54+G55)*'Fane 12. Nøgletal'!C24</f>
        <v>164657.67325547122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LzUKWKafRlnyJRZO46nv5ThXSSRvRQmj6hYbTokBFAUosUIWIcBMQco9FqrpdjNrTDRBg2s83ztaKuKStEcpHw==" saltValue="9Txl62qJecr23Bqjkc6/gA==" spinCount="100000" sheet="1" objects="1" scenarios="1"/>
  <mergeCells count="37"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53:H53"/>
    <mergeCell ref="B54:F54"/>
    <mergeCell ref="B55:F55"/>
    <mergeCell ref="B56:F56"/>
    <mergeCell ref="B35:F35"/>
    <mergeCell ref="B44:F44"/>
    <mergeCell ref="B31:F31"/>
    <mergeCell ref="B34:H34"/>
    <mergeCell ref="B22:H22"/>
    <mergeCell ref="B23:F23"/>
    <mergeCell ref="B24:F24"/>
    <mergeCell ref="B25:F25"/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2" t="s">
        <v>105</v>
      </c>
      <c r="C9" s="113"/>
      <c r="D9" s="113"/>
      <c r="E9" s="113"/>
      <c r="F9" s="114"/>
      <c r="G9" s="43">
        <v>0.02</v>
      </c>
      <c r="H9" s="14"/>
      <c r="I9" s="1"/>
    </row>
    <row r="10" spans="1:9" x14ac:dyDescent="0.25">
      <c r="A10" s="1"/>
      <c r="B10" s="112" t="s">
        <v>141</v>
      </c>
      <c r="C10" s="113"/>
      <c r="D10" s="113"/>
      <c r="E10" s="113"/>
      <c r="F10" s="114"/>
      <c r="G10" s="43">
        <v>1.7329079310271209E-2</v>
      </c>
      <c r="H10" s="14"/>
      <c r="I10" s="1"/>
    </row>
    <row r="11" spans="1:9" x14ac:dyDescent="0.25">
      <c r="A11" s="1"/>
      <c r="B11" s="54"/>
      <c r="C11" s="55"/>
      <c r="D11" s="55"/>
      <c r="E11" s="55"/>
      <c r="F11" s="55"/>
      <c r="G11" s="55"/>
      <c r="H11" s="20"/>
      <c r="I11" s="1"/>
    </row>
    <row r="12" spans="1:9" ht="14.25" customHeight="1" x14ac:dyDescent="0.25">
      <c r="A12" s="1"/>
      <c r="B12" s="124" t="s">
        <v>192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HmaQLIRfy4k2NaIjoCEnT1bhsDizkNsqwgAD9fTRPfFpraj3mwkWBHp+RyAhJ07dkskdKm3h//s7yl4bMG361w==" saltValue="cGiwOd1GdiZaUjje/I2LuA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2021-09-03T11:31:21Z</dcterms:modified>
</cp:coreProperties>
</file>