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K Spildevand AS (S08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E24" i="32" l="1"/>
  <c r="E32" i="32" s="1"/>
  <c r="E34" i="32" s="1"/>
  <c r="E28" i="32" l="1"/>
  <c r="C32" i="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<sst xmlns="http://schemas.openxmlformats.org/spreadsheetml/2006/main" count="613" uniqueCount="291">
  <si>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</si>
  <si>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</si>
  <si>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</si>
  <si>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</si>
  <si>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</si>
  <si>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</si>
  <si>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</si>
  <si>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</si>
  <si>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</si>
  <si>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</si>
  <si>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</si>
  <si>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</si>
  <si>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</si>
  <si>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</si>
  <si>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</si>
  <si>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</si>
  <si>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</si>
  <si>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</si>
  <si>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</si>
  <si>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</si>
  <si>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</si>
  <si>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</si>
  <si>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</si>
  <si>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</si>
  <si>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</si>
  <si>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</si>
  <si>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</si>
  <si>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</si>
  <si>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</si>
  <si>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</si>
  <si>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</si>
  <si>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</si>
  <si>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</si>
  <si>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</si>
  <si>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</si>
  <si>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</si>
  <si>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</si>
  <si>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</si>
  <si>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</si>
  <si>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</si>
  <si>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</si>
  <si>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</si>
  <si>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</si>
  <si>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</si>
  <si>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</si>
  <si>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</si>
  <si>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</si>
  <si>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</si>
  <si>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</si>
  <si>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</si>
  <si>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</si>
  <si>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</si>
  <si>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</si>
  <si>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</si>
  <si>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</si>
  <si>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</si>
  <si>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</si>
  <si>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</si>
  <si>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</si>
  <si>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</si>
  <si>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</si>
  <si>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</si>
  <si>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</si>
  <si>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</si>
  <si>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</si>
  <si>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</si>
  <si>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</si>
  <si>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</si>
  <si>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</si>
  <si>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</si>
  <si>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</si>
  <si>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</si>
  <si>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</si>
  <si>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</si>
  <si>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</si>
  <si>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</si>
  <si>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</si>
  <si>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</si>
  <si>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</si>
  <si>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</si>
  <si>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</si>
  <si>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</si>
  <si>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</si>
  <si>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</si>
  <si>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</si>
  <si>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</si>
  <si>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</si>
  <si>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</si>
  <si>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</si>
  <si>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</si>
  <si>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</si>
  <si>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</si>
  <si>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</si>
  <si>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</si>
  <si>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</si>
  <si>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</si>
  <si>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</si>
  <si>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</si>
  <si>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</si>
  <si>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</si>
  <si>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</si>
  <si>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</si>
  <si>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</si>
  <si>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</si>
  <si>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</si>
  <si>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</si>
  <si>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</si>
  <si>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</si>
  <si>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</si>
  <si>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</si>
  <si>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</si>
  <si>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</si>
  <si>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</si>
  <si>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</si>
  <si>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</si>
  <si>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</si>
  <si>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</si>
  <si>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</si>
  <si>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</si>
  <si>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</si>
  <si>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</si>
  <si>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</si>
  <si>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</si>
  <si>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</si>
  <si>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</si>
  <si>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</si>
  <si>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</si>
  <si>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</si>
  <si>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</si>
  <si>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</si>
  <si>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</si>
  <si>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</si>
  <si>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</si>
  <si>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</si>
  <si>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</si>
  <si>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</si>
  <si>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</si>
  <si>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</si>
  <si>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</si>
  <si>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</si>
  <si>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</si>
  <si>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</si>
  <si>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</si>
  <si>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</si>
  <si>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</si>
  <si>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</si>
  <si>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</si>
  <si>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</si>
  <si>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</si>
  <si>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</si>
  <si>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</si>
  <si>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</si>
  <si>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</si>
  <si>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</si>
  <si>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</si>
  <si>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</si>
  <si>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</si>
  <si>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</si>
  <si>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</si>
  <si>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</si>
  <si>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</si>
  <si>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</si>
  <si>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</si>
  <si>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</si>
  <si>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</si>
  <si>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</si>
  <si>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</si>
  <si>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</si>
  <si>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</si>
  <si>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</si>
  <si>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</si>
  <si>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</si>
  <si>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</si>
  <si>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</si>
  <si>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</si>
  <si>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</si>
  <si>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</si>
  <si>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</si>
  <si>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</si>
  <si>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</si>
  <si>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</si>
  <si>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</si>
  <si>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</si>
  <si>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</si>
  <si>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</si>
  <si>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</si>
  <si>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</si>
  <si>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</si>
  <si>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</si>
  <si>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</si>
  <si>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</si>
  <si>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</si>
  <si>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</si>
  <si>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</si>
  <si>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</si>
  <si>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</si>
  <si>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</si>
  <si>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</si>
  <si>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</si>
  <si>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</si>
  <si>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</si>
  <si>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</si>
  <si>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</si>
  <si>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</si>
  <si>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</si>
  <si>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</si>
  <si>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</si>
  <si>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</si>
  <si>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</si>
  <si>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</si>
  <si>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</si>
  <si>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</si>
  <si>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</si>
  <si>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</si>
  <si>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</si>
  <si>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</si>
  <si>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</si>
  <si>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</si>
  <si>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</si>
  <si>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</si>
  <si>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</si>
  <si>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</si>
  <si>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</si>
  <si>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</si>
  <si>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</si>
  <si>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</si>
  <si>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</si>
  <si>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</si>
  <si>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</si>
  <si>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</si>
  <si>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</si>
  <si>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</si>
  <si>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</si>
  <si>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</si>
  <si>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</si>
  <si>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</si>
  <si>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</si>
  <si>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</si>
  <si>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</si>
  <si>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</si>
  <si>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</si>
  <si>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</si>
  <si>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</si>
  <si>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</si>
  <si>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</si>
  <si>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</si>
  <si>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</si>
  <si>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</si>
  <si>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</si>
  <si>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</si>
  <si>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</si>
  <si>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</si>
  <si>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</si>
  <si>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</si>
  <si>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</si>
  <si>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</si>
  <si>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</si>
  <si>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</si>
  <si>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</si>
  <si>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</si>
  <si>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</si>
  <si>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</si>
  <si>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</si>
  <si>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</si>
  <si>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</si>
  <si>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</si>
  <si>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</si>
  <si>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</si>
  <si>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Tjenestemandspensioner</t>
  </si>
  <si>
    <t>Resultat af kontrol med overholdelse af den økonomiske ramme for 2021</t>
  </si>
  <si>
    <t>Ingen tilknyttet virksomhed under hovedvirksomheden</t>
  </si>
  <si>
    <t>Udvidelse af forsyning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</si>
  <si>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</si>
  <si>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</si>
  <si>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</si>
  <si>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</si>
  <si>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</si>
  <si>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</si>
  <si>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</si>
  <si>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</si>
  <si>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</si>
  <si>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</si>
  <si>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</si>
  <si>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</si>
  <si>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</si>
  <si>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Flytning af ledninger</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</si>
  <si>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</si>
  <si>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</si>
  <si>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</si>
  <si>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Etablering af dige</t>
  </si>
  <si>
    <t>Less is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</si>
</sst>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lqG/a742szrcMu4cZ/aq2iFUeX5aDD0nLV0WdQ83bi6QajFGbReBkl6rNy2G6dGM98n90SyVML9jsuwU57lZJg==" saltValue="MxZRCQqdcldezwlTlo59K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2711222</v>
      </c>
      <c r="D10" s="14" t="s">
        <v>3</v>
      </c>
      <c r="E10" s="1"/>
      <c r="F10" s="1"/>
    </row>
    <row r="11" spans="1:6" x14ac:dyDescent="0.25">
      <c r="A11" s="1"/>
      <c r="B11" s="94" t="s">
        <v>266</v>
      </c>
      <c r="C11" s="9">
        <v>138227</v>
      </c>
      <c r="D11" s="14" t="s">
        <v>3</v>
      </c>
      <c r="E11" s="1"/>
      <c r="F11" s="1"/>
    </row>
    <row r="12" spans="1:6" x14ac:dyDescent="0.25">
      <c r="A12" s="1"/>
      <c r="B12" s="94" t="s">
        <v>267</v>
      </c>
      <c r="C12" s="9">
        <v>555110</v>
      </c>
      <c r="D12" s="14" t="s">
        <v>3</v>
      </c>
      <c r="E12" s="1"/>
      <c r="F12" s="1"/>
    </row>
    <row r="13" spans="1:6" x14ac:dyDescent="0.25">
      <c r="A13" s="1"/>
      <c r="B13" s="94" t="s">
        <v>268</v>
      </c>
      <c r="C13" s="9">
        <v>198235</v>
      </c>
      <c r="D13" s="14" t="s">
        <v>3</v>
      </c>
      <c r="E13" s="1"/>
      <c r="F13" s="1"/>
    </row>
    <row r="14" spans="1:6" x14ac:dyDescent="0.25">
      <c r="A14" s="1"/>
      <c r="B14" s="32" t="s">
        <v>200</v>
      </c>
      <c r="C14" s="12">
        <f>SUM(C10:C13)</f>
        <v>3602794</v>
      </c>
      <c r="D14" s="13" t="s">
        <v>3</v>
      </c>
      <c r="E14" s="1"/>
      <c r="F14" s="1"/>
    </row>
    <row r="15" spans="1:6" x14ac:dyDescent="0.25">
      <c r="A15" s="1"/>
      <c r="B15" s="32" t="s">
        <v>201</v>
      </c>
      <c r="C15" s="12">
        <f>C14*(1+'Fane 15. Nøgletal'!C15)^2</f>
        <v>3863878.9698038404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Yj+tpAxZ/B3OQrVA9CYHJRqSBjBpIs2wYlbvygKXTLBM795dZ//rhHHgIuA9FY014Cyy2cKZvMX8Az8DCNernA==" saltValue="C1wjImtnfpo757yZaoSMK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-2735980.4885301888</v>
      </c>
      <c r="F9" s="14" t="s">
        <v>3</v>
      </c>
      <c r="G9" s="1"/>
    </row>
    <row r="10" spans="1:7" x14ac:dyDescent="0.25">
      <c r="A10" s="1"/>
      <c r="B10" s="136" t="s">
        <v>263</v>
      </c>
      <c r="C10" s="137"/>
      <c r="D10" s="138"/>
      <c r="E10" s="9">
        <v>-2735980.4885301888</v>
      </c>
      <c r="F10" s="14" t="s">
        <v>3</v>
      </c>
      <c r="G10" s="1"/>
    </row>
    <row r="11" spans="1:7" x14ac:dyDescent="0.25">
      <c r="A11" s="1"/>
      <c r="B11" s="32"/>
      <c r="C11" s="27"/>
      <c r="D11" s="27"/>
      <c r="E11" s="27"/>
      <c r="F11" s="19"/>
      <c r="G11" s="1"/>
    </row>
    <row r="12" spans="1:7" ht="81.75" customHeight="1" x14ac:dyDescent="0.25">
      <c r="A12" s="1"/>
      <c r="B12" s="121" t="s">
        <v>287</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281</v>
      </c>
      <c r="C15" s="137"/>
      <c r="D15" s="138"/>
      <c r="E15" s="9">
        <v>-1367990.2442650944</v>
      </c>
      <c r="F15" s="14" t="s">
        <v>3</v>
      </c>
      <c r="G15" s="1"/>
    </row>
    <row r="16" spans="1:7" x14ac:dyDescent="0.25">
      <c r="A16" s="1"/>
      <c r="B16" s="136" t="s">
        <v>282</v>
      </c>
      <c r="C16" s="137"/>
      <c r="D16" s="138"/>
      <c r="E16" s="9">
        <v>-1367990.2442650944</v>
      </c>
      <c r="F16" s="14" t="s">
        <v>3</v>
      </c>
      <c r="G16" s="1"/>
    </row>
    <row r="17" spans="1:7" x14ac:dyDescent="0.25">
      <c r="A17" s="1"/>
      <c r="B17" s="32"/>
      <c r="C17" s="27"/>
      <c r="D17" s="27"/>
      <c r="E17" s="27"/>
      <c r="F17" s="19"/>
      <c r="G17" s="1"/>
    </row>
    <row r="18" spans="1:7" ht="31.5" customHeight="1" x14ac:dyDescent="0.25">
      <c r="A18" s="1"/>
      <c r="B18" s="121" t="s">
        <v>288</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137809113.45300862</v>
      </c>
      <c r="F21" s="14" t="s">
        <v>3</v>
      </c>
      <c r="G21" s="1"/>
    </row>
    <row r="22" spans="1:7" x14ac:dyDescent="0.25">
      <c r="A22" s="1"/>
      <c r="B22" s="91" t="s">
        <v>207</v>
      </c>
      <c r="C22" s="92"/>
      <c r="D22" s="93"/>
      <c r="E22" s="9">
        <v>140488445</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-2679331.5469913781</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4" t="s">
        <v>284</v>
      </c>
      <c r="C28" s="135"/>
      <c r="D28" s="158"/>
      <c r="E28" s="73">
        <f>IF(AND(E9&gt;0,(E9+E24)&gt;0),0,IF(AND(E9&gt;0,(E9+E24)&lt;0),0,IF(AND(E9&lt;0,E24&gt;0,E10=0),0,IF(AND(E9&lt;0,E24&gt;0,ABS(E10)&lt;ABS(E24)),ABS(E16),IF(AND(E9&lt;0,E24&gt;0,ABS(E10)&gt;ABS(E24),ABS(E16)&gt;ABS(E24)),-(ABS(E16)-ABS(E24)),IF(AND(E9&lt;0,E24&gt;0,ABS(E10)&gt;ABS(E24),ABS(E16)&lt;ABS(E24)),E24-ABS(E16),IF(AND(E9&lt;0,E24&lt;0),E16,0)))))))</f>
        <v>-1367990.2442650944</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-2679331.5469913781</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-669832.88674784452</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vGaujPNyF19T6vHAdhIFcFV5ROL3/QOEJJYrniTlkT0QSNhWOl/WDuR5V/f7PtzimoULdTIQMMyInvMzKreBWg==" saltValue="NwoAZheyEOhqI22/lnkk+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272</v>
      </c>
      <c r="C10" s="160"/>
      <c r="D10" s="160"/>
      <c r="E10" s="160"/>
      <c r="F10" s="161"/>
      <c r="G10" s="9">
        <v>0</v>
      </c>
      <c r="H10" s="9" t="s">
        <v>3</v>
      </c>
      <c r="I10" s="1"/>
    </row>
    <row r="11" spans="1:9" x14ac:dyDescent="0.25">
      <c r="A11" s="1"/>
      <c r="B11" s="159" t="s">
        <v>273</v>
      </c>
      <c r="C11" s="160"/>
      <c r="D11" s="160"/>
      <c r="E11" s="160"/>
      <c r="F11" s="161"/>
      <c r="G11" s="9">
        <v>0</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bmtw0NSpXNEICuo70g7asj04xf0ifcPkPTsqonDSWmQ/WDXqHaBScJsSCyjEWR+Fz1JJmUcwaOP1N6JMcQPB+w==" saltValue="BM2dVhgJnF0J5D7Wofahc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c r="F14" s="8" t="s">
        <v>3</v>
      </c>
      <c r="G14" s="1"/>
    </row>
    <row r="15" spans="1:7" x14ac:dyDescent="0.25">
      <c r="A15" s="1"/>
      <c r="B15" s="121" t="s">
        <v>211</v>
      </c>
      <c r="C15" s="122"/>
      <c r="D15" s="123"/>
      <c r="E15" s="9"/>
      <c r="F15" s="8" t="s">
        <v>3</v>
      </c>
      <c r="G15" s="1"/>
    </row>
    <row r="16" spans="1:7" x14ac:dyDescent="0.25">
      <c r="A16" s="1"/>
      <c r="B16" s="134" t="s">
        <v>101</v>
      </c>
      <c r="C16" s="135"/>
      <c r="D16" s="158"/>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XNCvhY58Um6Y1LD0yZNrJFj4Jxxr6z0R/zPw51yxwK6h//hxwQ+0zQcwcwgYJ1K4vU03FGNxBTw6BTjVq7UaQ==" saltValue="xH4G/tr5U5txspwXkdljQ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06WTsl5/9A9H8o9qFYfLLEbmeEQIBJqgPpc7iAYZQd3uvzjYCHqJKHuyhij6LDbJNCUeEcQgskQKSa4++V9IfA==" saltValue="z+rG/b4Z8rEfH7Kn+MOBR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290</v>
      </c>
      <c r="C11" s="21">
        <v>562511</v>
      </c>
      <c r="D11" s="14" t="s">
        <v>3</v>
      </c>
      <c r="E11" s="9">
        <v>0</v>
      </c>
      <c r="F11" s="14" t="s">
        <v>3</v>
      </c>
      <c r="G11" s="1"/>
    </row>
    <row r="12" spans="1:7" x14ac:dyDescent="0.25">
      <c r="A12" s="1"/>
      <c r="B12" s="23" t="s">
        <v>285</v>
      </c>
      <c r="C12" s="21">
        <v>0</v>
      </c>
      <c r="D12" s="14" t="s">
        <v>3</v>
      </c>
      <c r="E12" s="9">
        <v>552889</v>
      </c>
      <c r="F12" s="14" t="s">
        <v>3</v>
      </c>
      <c r="G12" s="1"/>
    </row>
    <row r="13" spans="1:7" x14ac:dyDescent="0.25">
      <c r="A13" s="1"/>
      <c r="B13" s="23" t="s">
        <v>271</v>
      </c>
      <c r="C13" s="21">
        <v>523681</v>
      </c>
      <c r="D13" s="14" t="s">
        <v>3</v>
      </c>
      <c r="E13" s="9">
        <v>898094</v>
      </c>
      <c r="F13" s="14" t="s">
        <v>3</v>
      </c>
      <c r="G13" s="1"/>
    </row>
    <row r="14" spans="1:7" x14ac:dyDescent="0.25">
      <c r="A14" s="1"/>
      <c r="B14" s="32" t="s">
        <v>156</v>
      </c>
      <c r="C14" s="12">
        <f>SUM(C10:C13)</f>
        <v>1086192</v>
      </c>
      <c r="D14" s="13" t="s">
        <v>3</v>
      </c>
      <c r="E14" s="12">
        <f>SUM(E10:E13)</f>
        <v>1450983</v>
      </c>
      <c r="F14" s="13" t="s">
        <v>3</v>
      </c>
      <c r="G14" s="1"/>
    </row>
    <row r="15" spans="1:7" x14ac:dyDescent="0.25">
      <c r="A15" s="1"/>
      <c r="B15" s="32" t="s">
        <v>213</v>
      </c>
      <c r="C15" s="12">
        <f>C14*(1+'Fane 15. Nøgletal'!C15)</f>
        <v>1124860.4352000002</v>
      </c>
      <c r="D15" s="13" t="s">
        <v>3</v>
      </c>
      <c r="E15" s="12">
        <f>E14*(1+'Fane 15. Nøgletal'!C15)</f>
        <v>1502637.9948000002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ngc9Wey0ZWrIHGJ5Y9mj4WVI/PRUSLDNmjMcV1wu2SaKw0pnACTx4uRaeFSBfS1+TezpPfhdWpyJaEeLMcNK7A==" saltValue="LuXtZgLvcjajmAo1iB2KI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289</v>
      </c>
      <c r="C10" s="21">
        <v>50400</v>
      </c>
      <c r="D10" s="14" t="s">
        <v>3</v>
      </c>
      <c r="E10" s="9">
        <v>0</v>
      </c>
      <c r="F10" s="14" t="s">
        <v>3</v>
      </c>
      <c r="G10" s="1"/>
    </row>
    <row r="11" spans="1:7" x14ac:dyDescent="0.25">
      <c r="A11" s="1"/>
      <c r="B11" s="32" t="s">
        <v>232</v>
      </c>
      <c r="C11" s="12">
        <f>SUM(C10:C10)</f>
        <v>50400</v>
      </c>
      <c r="D11" s="13" t="s">
        <v>3</v>
      </c>
      <c r="E11" s="12">
        <f>SUM(E10:E10)</f>
        <v>0</v>
      </c>
      <c r="F11" s="13" t="s">
        <v>3</v>
      </c>
      <c r="G11" s="1"/>
    </row>
    <row r="12" spans="1:7" x14ac:dyDescent="0.25">
      <c r="A12" s="1"/>
      <c r="B12" s="32" t="s">
        <v>136</v>
      </c>
      <c r="C12" s="12">
        <f>C11*(1+'Fane 15. Nøgletal'!C15)^2</f>
        <v>54052.354944000006</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ONW1PdHkBc4f9/uOmd+z9caHsjnpnzJEiscWB0T90SaRrb6JjPIMdUWN/tX9uDpJW3y/I5b2EbASTmSU2FGsw==" saltValue="/XAx4nPhxuI2pwo5YN6mU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kDGXveqLDhWk3yDx9udMWj8n53SYsvY+0EbiHlwbQ6x3aZHNYeYb/NuB8V7Thoj2NDOPNY967IMN66ZSgGBRg==" saltValue="shTv6XWKx46I/bl5b+ORv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5703125" style="2" customWidth="1"/>
    <col min="2" max="2" width="42.28515625"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exA//NROhqaNuaDAeHYEBQcg6ccB/0xWe0+TGvjvCYFo7wyqY6BOXxnclnvUNqeW2tp90wpOaNO4e/jbMxDe0A==" saltValue="JAHuMeJfFnAFtiinvJW29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56kKRpBOWoBJqy4HAfvaqjt+HUzqLcbb8Valhnu+OESWi6Hl8gvEVSSQLdDg6oxuo/RFbW8f18CJPGWmBQWeZA==" saltValue="/fc33jz8byITueFEXQLN8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135553985.62843958</v>
      </c>
      <c r="D9" s="8" t="s">
        <v>3</v>
      </c>
      <c r="E9" s="1"/>
    </row>
    <row r="10" spans="1:5" ht="17.25" customHeight="1" x14ac:dyDescent="0.25">
      <c r="A10" s="1"/>
      <c r="B10" s="82" t="s">
        <v>39</v>
      </c>
      <c r="C10" s="7">
        <f>'Fane 11.1. Varige tillæg'!C15</f>
        <v>1124860.4352000002</v>
      </c>
      <c r="D10" s="8" t="s">
        <v>3</v>
      </c>
      <c r="E10" s="1"/>
    </row>
    <row r="11" spans="1:5" ht="17.25" customHeight="1" x14ac:dyDescent="0.25">
      <c r="A11" s="1"/>
      <c r="B11" s="82" t="s">
        <v>40</v>
      </c>
      <c r="C11" s="9">
        <f>'Fane 11.1. Varige tillæg'!E15</f>
        <v>1502637.9948000002</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540867.09668185061</v>
      </c>
      <c r="D16" s="8" t="s">
        <v>3</v>
      </c>
      <c r="E16" s="1"/>
    </row>
    <row r="17" spans="1:5" ht="17.25" customHeight="1" x14ac:dyDescent="0.25">
      <c r="A17" s="1"/>
      <c r="B17" s="82" t="s">
        <v>10</v>
      </c>
      <c r="C17" s="44">
        <f>-SUM(C9,C10:C16)*'Fane 5. Individuelt eff. krav'!G9</f>
        <v>-1702371.4821862548</v>
      </c>
      <c r="D17" s="8" t="s">
        <v>3</v>
      </c>
      <c r="E17" s="1"/>
    </row>
    <row r="18" spans="1:5" ht="17.25" customHeight="1" x14ac:dyDescent="0.25">
      <c r="A18" s="1"/>
      <c r="B18" s="82" t="s">
        <v>24</v>
      </c>
      <c r="C18" s="44">
        <f>-'Fane 4.1. Gen. krav - drift'!G45</f>
        <v>-1181195.6732470824</v>
      </c>
      <c r="D18" s="8" t="s">
        <v>3</v>
      </c>
      <c r="E18" s="1"/>
    </row>
    <row r="19" spans="1:5" ht="17.25" customHeight="1" x14ac:dyDescent="0.25">
      <c r="A19" s="1"/>
      <c r="B19" s="82" t="s">
        <v>25</v>
      </c>
      <c r="C19" s="44">
        <f>-'Fane 4.2. Gen. krav - anlæg'!G43</f>
        <v>-1317947.1961381454</v>
      </c>
      <c r="D19" s="8" t="s">
        <v>3</v>
      </c>
      <c r="E19" s="48"/>
    </row>
    <row r="20" spans="1:5" ht="17.25" customHeight="1" x14ac:dyDescent="0.25">
      <c r="A20" s="1"/>
      <c r="B20" s="88" t="s">
        <v>21</v>
      </c>
      <c r="C20" s="10">
        <f>SUM(C9:C19)</f>
        <v>134520836.80354998</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3863878.9698038404</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54052.354944000006</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-1744.3662167832124</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52307.988727216791</v>
      </c>
      <c r="D30" s="11" t="s">
        <v>3</v>
      </c>
      <c r="E30" s="1"/>
    </row>
    <row r="31" spans="1:5" x14ac:dyDescent="0.25">
      <c r="A31" s="1"/>
      <c r="B31" s="32" t="s">
        <v>143</v>
      </c>
      <c r="C31" s="27"/>
      <c r="D31" s="19"/>
      <c r="E31" s="1"/>
    </row>
    <row r="32" spans="1:5" x14ac:dyDescent="0.25">
      <c r="A32" s="1"/>
      <c r="B32" s="30" t="s">
        <v>180</v>
      </c>
      <c r="C32" s="10">
        <f>'Fane 7. Kontrol af ØR2021'!E28</f>
        <v>-1367990.2442650944</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137069033.51781595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O6/xNDWtkK1tMcOd6bshYnjNsBALwZ1/+p9zlJSunDPD5CN9mrKSfeaA+Ek4vf8K7kFw8/zIFTIbqlf/2kPUeg==" saltValue="+3RIqSzNffzAU0M8TNWo2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GpqOwdT0EI6vHK8nKNzk8axPdvQgFPr+psJEjFxMy/beF/EOJEaxzqFOaLLtwPtL5g14qb83uL/mfjfimyr/iw==" saltValue="rV2YaIueVAgMsmkXfG1zT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134520836.80354998</v>
      </c>
      <c r="D9" s="8" t="s">
        <v>3</v>
      </c>
      <c r="E9" s="1"/>
    </row>
    <row r="10" spans="1:5" ht="15" customHeight="1" x14ac:dyDescent="0.25">
      <c r="A10" s="1"/>
      <c r="B10" s="25" t="s">
        <v>19</v>
      </c>
      <c r="C10" s="7">
        <f>SUM(C9:C9)*'Fane 15. Nøgletal'!C15</f>
        <v>4788941.7902063793</v>
      </c>
      <c r="D10" s="8" t="s">
        <v>3</v>
      </c>
      <c r="E10" s="1"/>
    </row>
    <row r="11" spans="1:5" ht="15" customHeight="1" x14ac:dyDescent="0.25">
      <c r="A11" s="1"/>
      <c r="B11" s="25" t="s">
        <v>10</v>
      </c>
      <c r="C11" s="9">
        <f>-SUM(C9:C10)*'Fane 5. Individuelt eff. krav'!G9</f>
        <v>-1709580.2680167917</v>
      </c>
      <c r="D11" s="8" t="s">
        <v>3</v>
      </c>
      <c r="E11" s="1"/>
    </row>
    <row r="12" spans="1:5" ht="15" customHeight="1" x14ac:dyDescent="0.25">
      <c r="A12" s="1"/>
      <c r="B12" s="25" t="s">
        <v>24</v>
      </c>
      <c r="C12" s="9">
        <f>-'Fane 4.1. Gen. krav - drift'!G53</f>
        <v>-1198781.3144303849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136401417.01130918</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4001433.0611288575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-669832.88674784452</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139733017.18569019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h/H5G5q2kygFT1xRhULrthl8Xe/aCzwn5ausTQiKLHz8BQjBM7GNnPepTomH2XcdIOwslYFlOK5XG8wG0U+hg==" saltValue="GJc5iOkl+nbEnJiLJRxsW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136401417.01130918</v>
      </c>
      <c r="D9" s="8" t="s">
        <v>3</v>
      </c>
      <c r="E9" s="1"/>
    </row>
    <row r="10" spans="1:5" ht="15" customHeight="1" x14ac:dyDescent="0.25">
      <c r="A10" s="1"/>
      <c r="B10" s="25" t="s">
        <v>19</v>
      </c>
      <c r="C10" s="7">
        <f>SUM(C9:C9)*'Fane 15. Nøgletal'!C15</f>
        <v>4855890.445602607</v>
      </c>
      <c r="D10" s="8" t="s">
        <v>3</v>
      </c>
      <c r="E10" s="1"/>
    </row>
    <row r="11" spans="1:5" ht="15" customHeight="1" x14ac:dyDescent="0.25">
      <c r="A11" s="1"/>
      <c r="B11" s="25" t="s">
        <v>10</v>
      </c>
      <c r="C11" s="9">
        <f>-SUM(C9:C10)*'Fane 5. Individuelt eff. krav'!G9</f>
        <v>-1733479.9321283309</v>
      </c>
      <c r="D11" s="8" t="s">
        <v>3</v>
      </c>
      <c r="E11" s="1"/>
    </row>
    <row r="12" spans="1:5" ht="15" customHeight="1" x14ac:dyDescent="0.25">
      <c r="A12" s="1"/>
      <c r="B12" s="25" t="s">
        <v>24</v>
      </c>
      <c r="C12" s="9">
        <f>-'Fane 4.1. Gen. krav - drift'!G58</f>
        <v>-1216628.7706396247</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138307198.7541438</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4143884.0781050446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-669832.88674784452</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141781249.945501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8/EVJ7sLaKQqKIJxOljxBY2iH33/QHzgJejOVpOVBDsmPl6acz3b9/ABTFfh4Y/gW6i/gf65aAV+vQJk3ZwuBQ==" saltValue="TpEWncyN8Sc8fG1fOhC/X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138307198.7541438</v>
      </c>
      <c r="D9" s="8" t="s">
        <v>3</v>
      </c>
      <c r="E9" s="1"/>
    </row>
    <row r="10" spans="1:5" ht="15" customHeight="1" x14ac:dyDescent="0.25">
      <c r="A10" s="1"/>
      <c r="B10" s="25" t="s">
        <v>19</v>
      </c>
      <c r="C10" s="7">
        <f>SUM(C9:C9)*'Fane 15. Nøgletal'!C15</f>
        <v>4923736.2756475192</v>
      </c>
      <c r="D10" s="8" t="s">
        <v>3</v>
      </c>
      <c r="E10" s="1"/>
    </row>
    <row r="11" spans="1:5" ht="15" customHeight="1" x14ac:dyDescent="0.25">
      <c r="A11" s="1"/>
      <c r="B11" s="25" t="s">
        <v>10</v>
      </c>
      <c r="C11" s="9">
        <f>-SUM(C9:C10)*'Fane 5. Individuelt eff. krav'!G9</f>
        <v>-1757699.8741099196</v>
      </c>
      <c r="D11" s="8" t="s">
        <v>3</v>
      </c>
      <c r="E11" s="1"/>
    </row>
    <row r="12" spans="1:5" ht="15" customHeight="1" x14ac:dyDescent="0.25">
      <c r="A12" s="1"/>
      <c r="B12" s="25" t="s">
        <v>24</v>
      </c>
      <c r="C12" s="9">
        <f>-'Fane 4.1. Gen. krav - drift'!G63</f>
        <v>-1234741.9397769074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140238493.2159045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4291406.3512855852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-669832.88674784452</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143860066.68044224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MQsobb/jK1mPhOo4yvkQUmcA4CzhlR0D8cvxxQTba6eAokNtH27T1Xk5kXnslqJpykodqG3vNs/ocZ/w4l2sw==" saltValue="QXQ5Iaqsp5lV0fSq//23+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1" t="s">
        <v>192</v>
      </c>
      <c r="C9" s="122"/>
      <c r="D9" s="123"/>
      <c r="E9" s="7">
        <v>137786115.15414745</v>
      </c>
      <c r="F9" s="8" t="s">
        <v>3</v>
      </c>
      <c r="G9" s="1"/>
    </row>
    <row r="10" spans="1:7" ht="15" customHeight="1" x14ac:dyDescent="0.25">
      <c r="A10" s="1"/>
      <c r="B10" s="125" t="s">
        <v>39</v>
      </c>
      <c r="C10" s="126"/>
      <c r="D10" s="127"/>
      <c r="E10" s="7">
        <v>374273.03860000003</v>
      </c>
      <c r="F10" s="8" t="s">
        <v>3</v>
      </c>
      <c r="G10" s="1"/>
    </row>
    <row r="11" spans="1:7" ht="15" customHeight="1" x14ac:dyDescent="0.25">
      <c r="A11" s="1"/>
      <c r="B11" s="125" t="s">
        <v>40</v>
      </c>
      <c r="C11" s="126"/>
      <c r="D11" s="127"/>
      <c r="E11" s="9">
        <v>1160182.0078</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459757.8816618066</v>
      </c>
      <c r="F16" s="8" t="s">
        <v>3</v>
      </c>
      <c r="G16" s="1"/>
    </row>
    <row r="17" spans="1:7" ht="15" customHeight="1" x14ac:dyDescent="0.25">
      <c r="A17" s="1"/>
      <c r="B17" s="121" t="s">
        <v>10</v>
      </c>
      <c r="C17" s="122"/>
      <c r="D17" s="123"/>
      <c r="E17" s="9">
        <v>-1715354.7522540421</v>
      </c>
      <c r="F17" s="8" t="s">
        <v>3</v>
      </c>
      <c r="G17" s="1"/>
    </row>
    <row r="18" spans="1:7" ht="15" customHeight="1" x14ac:dyDescent="0.25">
      <c r="A18" s="1"/>
      <c r="B18" s="121" t="s">
        <v>24</v>
      </c>
      <c r="C18" s="122"/>
      <c r="D18" s="123"/>
      <c r="E18" s="9">
        <f>-'Fane 4.1. Gen. krav - drift'!G39</f>
        <v>-1177641.9081451821</v>
      </c>
      <c r="F18" s="8" t="s">
        <v>3</v>
      </c>
      <c r="G18" s="1"/>
    </row>
    <row r="19" spans="1:7" ht="15" customHeight="1" x14ac:dyDescent="0.25">
      <c r="A19" s="1"/>
      <c r="B19" s="121" t="s">
        <v>25</v>
      </c>
      <c r="C19" s="122"/>
      <c r="D19" s="123"/>
      <c r="E19" s="9">
        <f>-'Fane 4.2. Gen. krav - anlæg'!G37</f>
        <v>-1333345.7933704536</v>
      </c>
      <c r="F19" s="8" t="s">
        <v>3</v>
      </c>
      <c r="G19" s="1"/>
    </row>
    <row r="20" spans="1:7" ht="15" customHeight="1" x14ac:dyDescent="0.25">
      <c r="A20" s="1"/>
      <c r="B20" s="54" t="s">
        <v>21</v>
      </c>
      <c r="C20" s="89"/>
      <c r="D20" s="96"/>
      <c r="E20" s="51">
        <f>SUM(E9:E19)</f>
        <v>135553985.62843958</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2379374.4780157204</v>
      </c>
      <c r="F22" s="11" t="s">
        <v>3</v>
      </c>
      <c r="G22" s="1"/>
    </row>
    <row r="23" spans="1:7" ht="15" customHeight="1" x14ac:dyDescent="0.25">
      <c r="A23" s="1"/>
      <c r="B23" s="131" t="s">
        <v>86</v>
      </c>
      <c r="C23" s="132"/>
      <c r="D23" s="133"/>
      <c r="E23" s="27"/>
      <c r="F23" s="19"/>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-1367990.2442650944</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136565369.86219019</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s8miB4hImWJmvub+n2mesCQrGOjRNHF2uMLjszaVmiwnPr8sSsJOIWpdigNB8+IPPRSM+dUuHtKcKWziK2CKmw==" saltValue="XE3X3lPrkXYR6K4zaztKx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5.425781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61072060.764449328</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1221441.2152889867</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60898005.391270652</v>
      </c>
      <c r="H11" s="14" t="s">
        <v>3</v>
      </c>
      <c r="I11" s="1"/>
    </row>
    <row r="12" spans="1:9" ht="15" customHeight="1" x14ac:dyDescent="0.25">
      <c r="A12" s="1"/>
      <c r="B12" s="136" t="s">
        <v>121</v>
      </c>
      <c r="C12" s="137"/>
      <c r="D12" s="137"/>
      <c r="E12" s="137"/>
      <c r="F12" s="138"/>
      <c r="G12" s="77">
        <v>-5594461.2177025033</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1106070.883471363</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55145929.072673485</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1102918.5814534698</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55107657.797897048</v>
      </c>
      <c r="H25" s="14" t="s">
        <v>3</v>
      </c>
      <c r="I25" s="1"/>
    </row>
    <row r="26" spans="1:9" x14ac:dyDescent="0.25">
      <c r="A26" s="1"/>
      <c r="B26" s="143" t="s">
        <v>50</v>
      </c>
      <c r="C26" s="144"/>
      <c r="D26" s="144"/>
      <c r="E26" s="144"/>
      <c r="F26" s="145"/>
      <c r="G26" s="77">
        <v>2828900.5068465904</v>
      </c>
      <c r="H26" s="14" t="s">
        <v>3</v>
      </c>
      <c r="I26" s="1"/>
    </row>
    <row r="27" spans="1:9" x14ac:dyDescent="0.25">
      <c r="A27" s="1"/>
      <c r="B27" s="136" t="s">
        <v>51</v>
      </c>
      <c r="C27" s="137"/>
      <c r="D27" s="137"/>
      <c r="E27" s="137"/>
      <c r="F27" s="138"/>
      <c r="G27" s="76">
        <f>(G25+G26)*'Fane 15. Nøgletal'!C31</f>
        <v>1158731.1660948729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57896350.333280154</v>
      </c>
      <c r="H31" s="14" t="s">
        <v>3</v>
      </c>
      <c r="I31" s="1"/>
    </row>
    <row r="32" spans="1:9" x14ac:dyDescent="0.25">
      <c r="A32" s="1"/>
      <c r="B32" s="136" t="s">
        <v>137</v>
      </c>
      <c r="C32" s="137"/>
      <c r="D32" s="137"/>
      <c r="E32" s="137"/>
      <c r="F32" s="138"/>
      <c r="G32" s="76">
        <v>1607884.9429935601</v>
      </c>
      <c r="H32" s="14" t="s">
        <v>3</v>
      </c>
      <c r="I32" s="1"/>
    </row>
    <row r="33" spans="1:9" x14ac:dyDescent="0.25">
      <c r="A33" s="1"/>
      <c r="B33" s="136" t="s">
        <v>60</v>
      </c>
      <c r="C33" s="137"/>
      <c r="D33" s="137"/>
      <c r="E33" s="137"/>
      <c r="F33" s="138"/>
      <c r="G33" s="76">
        <f>(G31+G32)*'Fane 15. Nøgletal'!C31</f>
        <v>1190084.7055254744</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58506587.267631717</v>
      </c>
      <c r="H37" s="14" t="s">
        <v>3</v>
      </c>
      <c r="I37" s="1"/>
    </row>
    <row r="38" spans="1:9" x14ac:dyDescent="0.25">
      <c r="A38" s="1"/>
      <c r="B38" s="136" t="s">
        <v>164</v>
      </c>
      <c r="C38" s="137"/>
      <c r="D38" s="137"/>
      <c r="E38" s="137"/>
      <c r="F38" s="138"/>
      <c r="G38" s="76">
        <v>375508.13962738006</v>
      </c>
      <c r="H38" s="14" t="s">
        <v>3</v>
      </c>
      <c r="I38" s="1"/>
    </row>
    <row r="39" spans="1:9" x14ac:dyDescent="0.25">
      <c r="A39" s="1"/>
      <c r="B39" s="136" t="s">
        <v>162</v>
      </c>
      <c r="C39" s="137"/>
      <c r="D39" s="137"/>
      <c r="E39" s="137"/>
      <c r="F39" s="138"/>
      <c r="G39" s="76">
        <f>(G37+G38)*'Fane 15. Nøgletal'!C31</f>
        <v>1177641.9081451821</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57894878.195661001</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1164905.4666931203</v>
      </c>
      <c r="H44" s="14" t="s">
        <v>3</v>
      </c>
      <c r="I44" s="1"/>
    </row>
    <row r="45" spans="1:9" x14ac:dyDescent="0.25">
      <c r="A45" s="1"/>
      <c r="B45" s="136" t="s">
        <v>163</v>
      </c>
      <c r="C45" s="137"/>
      <c r="D45" s="137"/>
      <c r="E45" s="137"/>
      <c r="F45" s="138"/>
      <c r="G45" s="76">
        <f>SUM(G43:G44)*'Fane 15. Nøgletal'!C31</f>
        <v>1181195.6732470824</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59939065.721519247</v>
      </c>
      <c r="H52" s="14" t="s">
        <v>3</v>
      </c>
      <c r="I52" s="1"/>
    </row>
    <row r="53" spans="1:9" x14ac:dyDescent="0.25">
      <c r="A53" s="1"/>
      <c r="B53" s="136" t="s">
        <v>138</v>
      </c>
      <c r="C53" s="137"/>
      <c r="D53" s="137"/>
      <c r="E53" s="137"/>
      <c r="F53" s="138"/>
      <c r="G53" s="76">
        <f>(G52)*'Fane 15. Nøgletal'!C31</f>
        <v>1198781.3144303849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60831438.53198123</v>
      </c>
      <c r="H57" s="14" t="s">
        <v>3</v>
      </c>
      <c r="I57" s="1"/>
    </row>
    <row r="58" spans="1:9" x14ac:dyDescent="0.25">
      <c r="A58" s="1"/>
      <c r="B58" s="91" t="s">
        <v>152</v>
      </c>
      <c r="C58" s="92"/>
      <c r="D58" s="92"/>
      <c r="E58" s="92"/>
      <c r="F58" s="93"/>
      <c r="G58" s="76">
        <f>(G57)*'Fane 15. Nøgletal'!C31</f>
        <v>1216628.7706396247</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61737096.988845371</v>
      </c>
      <c r="H62" s="14" t="s">
        <v>3</v>
      </c>
      <c r="I62" s="1"/>
    </row>
    <row r="63" spans="1:9" x14ac:dyDescent="0.25">
      <c r="A63" s="1"/>
      <c r="B63" s="91" t="s">
        <v>195</v>
      </c>
      <c r="C63" s="92"/>
      <c r="D63" s="92"/>
      <c r="E63" s="92"/>
      <c r="F63" s="93"/>
      <c r="G63" s="76">
        <f>(G62)*'Fane 15. Nøgletal'!C31</f>
        <v>1234741.9397769074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dpd2FxfbBGftKgFEZCxAJSqpUcIcuTdQts57bCAHRT+ae04422P065BYzZIcm+T2jyigHpRN/n73uy1tJEyIcg==" saltValue="+5MQNjdxNSu+zP/JbyTGG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8.140625" style="2" customWidth="1"/>
    <col min="7" max="7" width="14.140625" style="2" customWidth="1"/>
    <col min="8" max="8" width="3.28515625" style="2" customWidth="1"/>
    <col min="9" max="9" width="2.71093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87608087.534453824</v>
      </c>
      <c r="H5" s="14" t="s">
        <v>3</v>
      </c>
      <c r="I5" s="1"/>
    </row>
    <row r="6" spans="1:9" x14ac:dyDescent="0.25">
      <c r="A6" s="1"/>
      <c r="B6" s="136" t="s">
        <v>57</v>
      </c>
      <c r="C6" s="137"/>
      <c r="D6" s="137"/>
      <c r="E6" s="137"/>
      <c r="F6" s="138"/>
      <c r="G6" s="76">
        <f>G5*'Fane 15. Nøgletal'!C20</f>
        <v>797233.59656352981</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88330043.881803378</v>
      </c>
      <c r="H10" s="14" t="s">
        <v>3</v>
      </c>
      <c r="I10" s="1"/>
    </row>
    <row r="11" spans="1:9" x14ac:dyDescent="0.25">
      <c r="A11" s="1"/>
      <c r="B11" s="136" t="s">
        <v>122</v>
      </c>
      <c r="C11" s="137"/>
      <c r="D11" s="137"/>
      <c r="E11" s="137"/>
      <c r="F11" s="138"/>
      <c r="G11" s="76">
        <v>-191255.49914114541</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1560056.5543731216</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88093859.635284185</v>
      </c>
      <c r="H17" s="14" t="s">
        <v>3</v>
      </c>
      <c r="I17" s="1"/>
    </row>
    <row r="18" spans="1:9" x14ac:dyDescent="0.25">
      <c r="A18" s="1"/>
      <c r="B18" s="143" t="s">
        <v>68</v>
      </c>
      <c r="C18" s="144"/>
      <c r="D18" s="144"/>
      <c r="E18" s="144"/>
      <c r="F18" s="145"/>
      <c r="G18" s="76">
        <v>808680.79916024976</v>
      </c>
      <c r="H18" s="14" t="s">
        <v>3</v>
      </c>
      <c r="I18" s="1"/>
    </row>
    <row r="19" spans="1:9" x14ac:dyDescent="0.25">
      <c r="A19" s="1"/>
      <c r="B19" s="136" t="s">
        <v>69</v>
      </c>
      <c r="C19" s="137"/>
      <c r="D19" s="137"/>
      <c r="E19" s="137"/>
      <c r="F19" s="138"/>
      <c r="G19" s="76">
        <f>G17*'Fane 15. Nøgletal'!C21+G18*'Fane 15. Nøgletal'!C22</f>
        <v>1566296.8384972243</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89056767.594787389</v>
      </c>
      <c r="H23" s="14" t="s">
        <v>3</v>
      </c>
      <c r="I23" s="1"/>
    </row>
    <row r="24" spans="1:9" x14ac:dyDescent="0.25">
      <c r="A24" s="1"/>
      <c r="B24" s="143" t="s">
        <v>72</v>
      </c>
      <c r="C24" s="144"/>
      <c r="D24" s="144"/>
      <c r="E24" s="144"/>
      <c r="F24" s="145"/>
      <c r="G24" s="76">
        <v>1287153.0111466225</v>
      </c>
      <c r="H24" s="14" t="s">
        <v>3</v>
      </c>
      <c r="I24" s="1"/>
    </row>
    <row r="25" spans="1:9" x14ac:dyDescent="0.25">
      <c r="A25" s="1"/>
      <c r="B25" s="136" t="s">
        <v>73</v>
      </c>
      <c r="C25" s="137"/>
      <c r="D25" s="137"/>
      <c r="E25" s="137"/>
      <c r="F25" s="138"/>
      <c r="G25" s="76">
        <f>(G23+G24)*'Fane 15. Nøgletal'!C23</f>
        <v>2565767.3452085261</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89507382.879961774</v>
      </c>
      <c r="H29" s="14" t="s">
        <v>3</v>
      </c>
      <c r="I29" s="1"/>
    </row>
    <row r="30" spans="1:9" x14ac:dyDescent="0.25">
      <c r="A30" s="1"/>
      <c r="B30" s="136" t="s">
        <v>139</v>
      </c>
      <c r="C30" s="137"/>
      <c r="D30" s="137"/>
      <c r="E30" s="137"/>
      <c r="F30" s="138"/>
      <c r="G30" s="76">
        <v>1716251.4738003598</v>
      </c>
      <c r="H30" s="14" t="s">
        <v>3</v>
      </c>
      <c r="I30" s="1"/>
    </row>
    <row r="31" spans="1:9" x14ac:dyDescent="0.25">
      <c r="A31" s="1"/>
      <c r="B31" s="136" t="s">
        <v>76</v>
      </c>
      <c r="C31" s="137"/>
      <c r="D31" s="137"/>
      <c r="E31" s="137"/>
      <c r="F31" s="138"/>
      <c r="G31" s="76">
        <f>G29*'Fane 15. Nøgletal'!C23+G30*'Fane 15. Nøgletal'!C24</f>
        <v>2589206.5893204245</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88926921.376064375</v>
      </c>
      <c r="H35" s="14" t="s">
        <v>3</v>
      </c>
      <c r="I35" s="1"/>
    </row>
    <row r="36" spans="1:9" x14ac:dyDescent="0.25">
      <c r="A36" s="1"/>
      <c r="B36" s="136" t="s">
        <v>167</v>
      </c>
      <c r="C36" s="137"/>
      <c r="D36" s="137"/>
      <c r="E36" s="137"/>
      <c r="F36" s="138"/>
      <c r="G36" s="76">
        <v>1164010.6084257402</v>
      </c>
      <c r="H36" s="14" t="s">
        <v>3</v>
      </c>
      <c r="I36" s="1"/>
    </row>
    <row r="37" spans="1:9" x14ac:dyDescent="0.25">
      <c r="A37" s="1"/>
      <c r="B37" s="136" t="s">
        <v>166</v>
      </c>
      <c r="C37" s="137"/>
      <c r="D37" s="137"/>
      <c r="E37" s="137"/>
      <c r="F37" s="138"/>
      <c r="G37" s="76">
        <f>(G35+G36)*'Fane 15. Nøgletal'!C25</f>
        <v>1333345.7933704536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89050486.225550354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1556131.9074148803</v>
      </c>
      <c r="H42" s="14" t="s">
        <v>3</v>
      </c>
      <c r="I42" s="1"/>
    </row>
    <row r="43" spans="1:9" x14ac:dyDescent="0.25">
      <c r="A43" s="1"/>
      <c r="B43" s="136" t="s">
        <v>168</v>
      </c>
      <c r="C43" s="137"/>
      <c r="D43" s="137"/>
      <c r="E43" s="137"/>
      <c r="F43" s="138"/>
      <c r="G43" s="76">
        <f>(G41)*'Fane 15. Nøgletal'!C25+G42*'Fane 15. Nøgletal'!C26</f>
        <v>1317947.1961381454</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92467347.622178137</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95759185.197527692</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99168212.190559685</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k6/KymtIpgdhz77BfeCGVgcQhIP0jeuSXYoEaJQfUySew1Vir3NTOWBaZb1GJ/aWFeT3koV/WMY+bv+qnUOYHA==" saltValue="3g5aCIc1DpS50dydLQKkE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1.2271789426944164E-2</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MQXKJKXycjTxBGgsI5kPsuS1YLSjB3ibOhJrqJWyYgiQwwJsZiVnQKrwGEUbvmNjDuvLch7eRSo7ygeh0AW4Ig==" saltValue="nVEZErqrsQwPH3iD2pQqV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2022-12-01T08:52:37Z</dcterms:modified>
</cp:coreProperties>
</file>