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Rebild Vand &amp; Spildevand AS (S076)\ØR2025\"/>
    </mc:Choice>
  </mc:AlternateContent>
  <xr:revisionPtr revIDLastSave="0" documentId="13_ncr:1_{7243D3FE-258A-4DDC-B154-852C11E7812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11.2. Engangstillæg" sheetId="39" r:id="rId11"/>
    <sheet name="Fane 7. Kontrol af ØR2023" sheetId="43" r:id="rId12"/>
    <sheet name="Fane 8. Skattesagen" sheetId="41" r:id="rId13"/>
    <sheet name="Fane 9. Korrektion af ØR2023" sheetId="40" r:id="rId14"/>
    <sheet name="Fane 11.1. Varige tillæg" sheetId="37" r:id="rId15"/>
    <sheet name="Fane 10. Anlægsprojekter (§ 19)" sheetId="11"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<sst xmlns="http://schemas.openxmlformats.org/spreadsheetml/2006/main" count="551" uniqueCount="240">
  <si>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</si>
  <si>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</si>
  <si>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</si>
  <si>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</si>
  <si>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</si>
  <si>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</si>
  <si>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</si>
  <si>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</si>
  <si>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</si>
  <si>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</si>
  <si>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</si>
  <si>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</si>
  <si>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</si>
  <si>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</si>
  <si>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</si>
  <si>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</si>
  <si>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</si>
  <si>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</si>
  <si>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</si>
  <si>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</si>
  <si>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</si>
  <si>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</si>
  <si>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</si>
  <si>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</si>
  <si>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</si>
  <si>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</si>
  <si>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</si>
  <si>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</si>
  <si>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</si>
  <si>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</si>
  <si>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</si>
  <si>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</si>
  <si>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</si>
  <si>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</si>
  <si>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</si>
  <si>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</si>
  <si>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</si>
  <si>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</si>
  <si>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</si>
  <si>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</si>
  <si>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</si>
  <si>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</si>
  <si>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</si>
  <si>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</si>
  <si>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</si>
  <si>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</si>
  <si>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</si>
  <si>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</si>
  <si>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</si>
  <si>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</si>
  <si>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</si>
  <si>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</si>
  <si>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</si>
  <si>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</si>
  <si>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</si>
  <si>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</si>
  <si>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</si>
  <si>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</si>
  <si>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</si>
  <si>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</si>
  <si>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</si>
  <si>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</si>
  <si>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</si>
  <si>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</si>
  <si>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</si>
  <si>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</si>
  <si>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</si>
  <si>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</si>
  <si>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</si>
  <si>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</si>
  <si>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</si>
  <si>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</si>
  <si>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</si>
  <si>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</si>
  <si>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</si>
  <si>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</si>
  <si>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</si>
  <si>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</si>
  <si>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</si>
  <si>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</si>
  <si>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</si>
  <si>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</si>
  <si>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</si>
  <si>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</si>
  <si>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</si>
  <si>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</si>
  <si>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</si>
  <si>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</si>
  <si>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</si>
  <si>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</si>
  <si>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</si>
  <si>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</si>
  <si>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</si>
  <si>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</si>
  <si>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</si>
  <si>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</si>
  <si>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</si>
  <si>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</si>
  <si>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</si>
  <si>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</si>
  <si>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</si>
  <si>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</si>
  <si>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</si>
  <si>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</si>
  <si>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</si>
  <si>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</si>
  <si>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</si>
  <si>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</si>
  <si>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</si>
  <si>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</si>
  <si>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</si>
  <si>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</si>
  <si>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</si>
  <si>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</si>
  <si>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</si>
  <si>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</si>
  <si>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</si>
  <si>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</si>
  <si>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</si>
  <si>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</si>
  <si>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</si>
  <si>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</si>
  <si>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</si>
  <si>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</si>
  <si>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</si>
  <si>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</si>
  <si>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</si>
  <si>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</si>
  <si>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</si>
  <si>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</si>
  <si>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</si>
  <si>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</si>
  <si>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</si>
  <si>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</si>
  <si>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</si>
  <si>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</si>
  <si>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</si>
  <si>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</si>
  <si>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</si>
  <si>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</si>
  <si>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</si>
  <si>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</si>
  <si>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</si>
  <si>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</si>
  <si>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</si>
  <si>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</si>
  <si>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</si>
  <si>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</si>
  <si>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</si>
  <si>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</si>
  <si>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</si>
  <si>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</si>
  <si>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</si>
  <si>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</si>
  <si>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</si>
  <si>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</si>
  <si>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</si>
  <si>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</si>
  <si>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</si>
  <si>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</si>
  <si>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</si>
  <si>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</si>
  <si>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</si>
  <si>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</si>
  <si>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</si>
  <si>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</si>
  <si>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</si>
  <si>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</si>
  <si>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</si>
  <si>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</si>
  <si>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</si>
  <si>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</si>
  <si>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</si>
  <si>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</si>
  <si>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</si>
  <si>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</si>
  <si>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</si>
  <si>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</si>
  <si>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</si>
  <si>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</si>
  <si>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</si>
  <si>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</si>
  <si>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</si>
  <si>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</si>
  <si>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</si>
  <si>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</si>
  <si>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</si>
  <si>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</si>
  <si>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</si>
  <si>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</si>
  <si>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</si>
  <si>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</si>
  <si>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</si>
  <si>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</si>
  <si>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</si>
  <si>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</si>
  <si>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</si>
  <si>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</si>
  <si>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</si>
  <si>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</si>
  <si>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</si>
  <si>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</si>
  <si>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</si>
  <si>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</si>
  <si>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</si>
  <si>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</si>
  <si>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</si>
  <si>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</si>
  <si>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</si>
  <si>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</si>
  <si>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</si>
  <si>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</si>
  <si>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</si>
  <si>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</si>
  <si>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</si>
  <si>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</si>
  <si>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</si>
  <si>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</si>
  <si>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</si>
  <si>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</si>
  <si>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</si>
  <si>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</si>
  <si>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</si>
  <si>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</si>
  <si>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</si>
  <si>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</si>
  <si>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</si>
  <si>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</si>
  <si>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</si>
  <si>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</si>
  <si>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</si>
  <si>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</si>
  <si>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</si>
  <si>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</si>
  <si>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Erstatninger</t>
  </si>
  <si>
    <t>Gebyr til Miljøstyrelsen</t>
  </si>
  <si>
    <t>Mastrupsøerne</t>
  </si>
  <si>
    <t>Separatkloakering</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</si>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</sst>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2" borderId="0"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229</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128</v>
      </c>
      <c r="D13" s="103"/>
      <c r="E13" s="103"/>
      <c r="F13" s="104"/>
      <c r="G13" s="5"/>
    </row>
    <row r="14" spans="1:7" x14ac:dyDescent="0.25">
      <c r="A14" s="1"/>
      <c r="B14" s="6" t="s">
        <v>16</v>
      </c>
      <c r="C14" s="93" t="s">
        <v>187</v>
      </c>
      <c r="D14" s="94"/>
      <c r="E14" s="94"/>
      <c r="F14" s="95"/>
      <c r="G14" s="5"/>
    </row>
    <row r="15" spans="1:7" x14ac:dyDescent="0.25">
      <c r="A15" s="1"/>
      <c r="B15" s="6" t="s">
        <v>30</v>
      </c>
      <c r="C15" s="93" t="s">
        <v>150</v>
      </c>
      <c r="D15" s="94"/>
      <c r="E15" s="94"/>
      <c r="F15" s="95"/>
      <c r="G15" s="5"/>
    </row>
    <row r="16" spans="1:7" x14ac:dyDescent="0.25">
      <c r="A16" s="1"/>
      <c r="B16" s="6" t="s">
        <v>31</v>
      </c>
      <c r="C16" s="93" t="s">
        <v>152</v>
      </c>
      <c r="D16" s="94"/>
      <c r="E16" s="94"/>
      <c r="F16" s="95"/>
      <c r="G16" s="5"/>
    </row>
    <row r="17" spans="1:8" x14ac:dyDescent="0.25">
      <c r="A17" s="1"/>
      <c r="B17" s="6" t="s">
        <v>62</v>
      </c>
      <c r="C17" s="93" t="s">
        <v>153</v>
      </c>
      <c r="D17" s="94"/>
      <c r="E17" s="94"/>
      <c r="F17" s="95"/>
      <c r="G17" s="5"/>
    </row>
    <row r="18" spans="1:8" x14ac:dyDescent="0.25">
      <c r="A18" s="1"/>
      <c r="B18" s="6" t="s">
        <v>54</v>
      </c>
      <c r="C18" s="90" t="s">
        <v>46</v>
      </c>
      <c r="D18" s="91"/>
      <c r="E18" s="91"/>
      <c r="F18" s="92"/>
      <c r="G18" s="5"/>
    </row>
    <row r="19" spans="1:8" x14ac:dyDescent="0.25">
      <c r="A19" s="1"/>
      <c r="B19" s="6" t="s">
        <v>55</v>
      </c>
      <c r="C19" s="90" t="s">
        <v>47</v>
      </c>
      <c r="D19" s="91"/>
      <c r="E19" s="91"/>
      <c r="F19" s="92"/>
      <c r="G19" s="5"/>
    </row>
    <row r="20" spans="1:8" x14ac:dyDescent="0.25">
      <c r="A20" s="1"/>
      <c r="B20" s="6" t="s">
        <v>7</v>
      </c>
      <c r="C20" s="90" t="s">
        <v>10</v>
      </c>
      <c r="D20" s="91"/>
      <c r="E20" s="91"/>
      <c r="F20" s="92"/>
      <c r="G20" s="5"/>
    </row>
    <row r="21" spans="1:8" x14ac:dyDescent="0.25">
      <c r="A21" s="1"/>
      <c r="B21" s="6" t="s">
        <v>56</v>
      </c>
      <c r="C21" s="97" t="s">
        <v>12</v>
      </c>
      <c r="D21" s="98"/>
      <c r="E21" s="98"/>
      <c r="F21" s="99"/>
      <c r="G21" s="5"/>
    </row>
    <row r="22" spans="1:8" x14ac:dyDescent="0.25">
      <c r="A22" s="1"/>
      <c r="B22" s="6" t="s">
        <v>40</v>
      </c>
      <c r="C22" s="84" t="s">
        <v>154</v>
      </c>
      <c r="D22" s="85"/>
      <c r="E22" s="85"/>
      <c r="F22" s="86"/>
      <c r="G22" s="5"/>
    </row>
    <row r="23" spans="1:8" x14ac:dyDescent="0.25">
      <c r="A23" s="1"/>
      <c r="B23" s="6" t="s">
        <v>8</v>
      </c>
      <c r="C23" s="84" t="s">
        <v>113</v>
      </c>
      <c r="D23" s="85"/>
      <c r="E23" s="85"/>
      <c r="F23" s="86"/>
      <c r="G23" s="5"/>
    </row>
    <row r="24" spans="1:8" x14ac:dyDescent="0.25">
      <c r="A24" s="1"/>
      <c r="B24" s="6" t="s">
        <v>9</v>
      </c>
      <c r="C24" s="84" t="s">
        <v>155</v>
      </c>
      <c r="D24" s="85"/>
      <c r="E24" s="85"/>
      <c r="F24" s="86"/>
      <c r="G24" s="5"/>
    </row>
    <row r="25" spans="1:8" x14ac:dyDescent="0.25">
      <c r="A25" s="1"/>
      <c r="B25" s="6" t="s">
        <v>98</v>
      </c>
      <c r="C25" s="84" t="s">
        <v>92</v>
      </c>
      <c r="D25" s="85"/>
      <c r="E25" s="85"/>
      <c r="F25" s="86"/>
      <c r="G25" s="1"/>
    </row>
    <row r="26" spans="1:8" x14ac:dyDescent="0.25">
      <c r="A26" s="1"/>
      <c r="B26" s="6" t="s">
        <v>99</v>
      </c>
      <c r="C26" s="84" t="s">
        <v>41</v>
      </c>
      <c r="D26" s="85"/>
      <c r="E26" s="85"/>
      <c r="F26" s="86"/>
      <c r="G26" s="1"/>
    </row>
    <row r="27" spans="1:8" x14ac:dyDescent="0.25">
      <c r="A27" s="1"/>
      <c r="B27" s="6" t="s">
        <v>100</v>
      </c>
      <c r="C27" s="84" t="s">
        <v>42</v>
      </c>
      <c r="D27" s="85"/>
      <c r="E27" s="85"/>
      <c r="F27" s="86"/>
      <c r="G27" s="1"/>
    </row>
    <row r="28" spans="1:8" x14ac:dyDescent="0.25">
      <c r="A28" s="1"/>
      <c r="B28" s="6" t="s">
        <v>15</v>
      </c>
      <c r="C28" s="84" t="s">
        <v>43</v>
      </c>
      <c r="D28" s="85"/>
      <c r="E28" s="85"/>
      <c r="F28" s="86"/>
      <c r="G28" s="1"/>
      <c r="H28" s="2" t="s">
        <v>151</v>
      </c>
    </row>
    <row r="29" spans="1:8" x14ac:dyDescent="0.25">
      <c r="A29" s="1"/>
      <c r="B29" s="6" t="s">
        <v>33</v>
      </c>
      <c r="C29" s="84" t="s">
        <v>69</v>
      </c>
      <c r="D29" s="85"/>
      <c r="E29" s="85"/>
      <c r="F29" s="86"/>
      <c r="G29" s="1"/>
    </row>
    <row r="30" spans="1:8" x14ac:dyDescent="0.25">
      <c r="A30" s="1"/>
      <c r="B30" s="6" t="s">
        <v>34</v>
      </c>
      <c r="C30" s="84" t="s">
        <v>32</v>
      </c>
      <c r="D30" s="85"/>
      <c r="E30" s="85"/>
      <c r="F30" s="86"/>
      <c r="G30" s="1"/>
    </row>
    <row r="31" spans="1:8" x14ac:dyDescent="0.25">
      <c r="A31" s="1"/>
      <c r="B31" s="6" t="s">
        <v>101</v>
      </c>
      <c r="C31" s="87" t="s">
        <v>53</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j9kBzY5KxSH8O+Nk6PXOph7irx3CHR86/xEN3nJfL79WXPCLFj2Sgw3PSaThqCjr1WoSTZpXkOUAZo/olYLATA==" saltValue="Qiuo+qkoWm+asAkbaFY1s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59</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2" t="s">
        <v>166</v>
      </c>
      <c r="C8" s="113"/>
      <c r="D8" s="114"/>
      <c r="E8" s="1"/>
    </row>
    <row r="9" spans="1:5" ht="15" customHeight="1" x14ac:dyDescent="0.25">
      <c r="A9" s="1"/>
      <c r="B9" s="27" t="s">
        <v>28</v>
      </c>
      <c r="C9" s="68" t="s">
        <v>167</v>
      </c>
      <c r="D9" s="11"/>
      <c r="E9" s="1"/>
    </row>
    <row r="10" spans="1:5" ht="15" customHeight="1" x14ac:dyDescent="0.25">
      <c r="A10" s="1"/>
      <c r="B10" s="73" t="s">
        <v>230</v>
      </c>
      <c r="C10" s="74">
        <v>209040</v>
      </c>
      <c r="D10" s="14" t="s">
        <v>3</v>
      </c>
      <c r="E10" s="1"/>
    </row>
    <row r="11" spans="1:5" ht="15" customHeight="1" x14ac:dyDescent="0.25">
      <c r="A11" s="1"/>
      <c r="B11" s="73" t="s">
        <v>231</v>
      </c>
      <c r="C11" s="74">
        <v>63209</v>
      </c>
      <c r="D11" s="14" t="s">
        <v>3</v>
      </c>
      <c r="E11" s="1"/>
    </row>
    <row r="12" spans="1:5" ht="25.5" x14ac:dyDescent="0.25">
      <c r="A12" s="1"/>
      <c r="B12" s="73" t="s">
        <v>232</v>
      </c>
      <c r="C12" s="74">
        <v>5171857</v>
      </c>
      <c r="D12" s="14" t="s">
        <v>3</v>
      </c>
      <c r="E12" s="1"/>
    </row>
    <row r="13" spans="1:5" x14ac:dyDescent="0.25">
      <c r="A13" s="1"/>
      <c r="B13" s="73" t="s">
        <v>233</v>
      </c>
      <c r="C13" s="74">
        <v>51752</v>
      </c>
      <c r="D13" s="14" t="s">
        <v>3</v>
      </c>
      <c r="E13" s="1"/>
    </row>
    <row r="14" spans="1:5" x14ac:dyDescent="0.25">
      <c r="A14" s="1"/>
      <c r="B14" s="73" t="s">
        <v>234</v>
      </c>
      <c r="C14" s="74">
        <v>225327.09999999998</v>
      </c>
      <c r="D14" s="14" t="s">
        <v>3</v>
      </c>
      <c r="E14" s="1"/>
    </row>
    <row r="15" spans="1:5" x14ac:dyDescent="0.25">
      <c r="A15" s="1"/>
      <c r="B15" s="73" t="s">
        <v>235</v>
      </c>
      <c r="C15" s="74">
        <v>11554</v>
      </c>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5732739.0999999996</v>
      </c>
      <c r="D20" s="13" t="s">
        <v>3</v>
      </c>
      <c r="E20" s="1"/>
    </row>
    <row r="21" spans="1:5" x14ac:dyDescent="0.25">
      <c r="A21" s="1"/>
      <c r="B21" s="33" t="s">
        <v>169</v>
      </c>
      <c r="C21" s="12">
        <f>C20*(1+'Fane 15. Nøgletal'!C10)^2</f>
        <v>6518099.6485944781</v>
      </c>
      <c r="D21" s="13" t="s">
        <v>3</v>
      </c>
      <c r="E21" s="1"/>
    </row>
    <row r="22" spans="1:5" x14ac:dyDescent="0.25">
      <c r="A22" s="1"/>
      <c r="B22" s="16"/>
      <c r="C22" s="15"/>
      <c r="D22" s="15"/>
      <c r="E22" s="1"/>
    </row>
    <row r="23" spans="1:5" x14ac:dyDescent="0.25">
      <c r="A23" s="1"/>
      <c r="B23" s="16"/>
      <c r="C23" s="15"/>
      <c r="D23" s="15"/>
      <c r="E23" s="1"/>
    </row>
    <row r="24" spans="1:5" x14ac:dyDescent="0.25">
      <c r="A24" s="1"/>
      <c r="B24" s="112" t="s">
        <v>61</v>
      </c>
      <c r="C24" s="113"/>
      <c r="D24" s="114"/>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2"/>
      <c r="C29" s="113"/>
      <c r="D29" s="114"/>
      <c r="E29" s="1"/>
    </row>
    <row r="30" spans="1:5" x14ac:dyDescent="0.25">
      <c r="A30" s="1"/>
      <c r="B30" s="1"/>
      <c r="C30" s="1"/>
      <c r="D30" s="1"/>
      <c r="E30" s="1"/>
    </row>
    <row r="31" spans="1:5" x14ac:dyDescent="0.25">
      <c r="A31" s="1"/>
      <c r="B31" s="1"/>
      <c r="C31" s="1"/>
      <c r="D31" s="1"/>
      <c r="E31" s="1"/>
    </row>
    <row r="32" spans="1:5" x14ac:dyDescent="0.25">
      <c r="A32" s="1"/>
      <c r="B32" s="112" t="s">
        <v>48</v>
      </c>
      <c r="C32" s="113"/>
      <c r="D32" s="114"/>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2"/>
      <c r="C37" s="113"/>
      <c r="D37" s="114"/>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yxo1S9b/XdUWx+4utot3lWUYl/yUxRRS+vUpEIJp6xiiPYN4U7oNfbnpgrXp4eUQz8ErB9boAnprrsGBRT9suQ==" saltValue="u/GlW6CYr6OvgCSjBDFh6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116</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177</v>
      </c>
      <c r="C8" s="113"/>
      <c r="D8" s="113"/>
      <c r="E8" s="113"/>
      <c r="F8" s="114"/>
      <c r="G8" s="1"/>
    </row>
    <row r="9" spans="1:7" x14ac:dyDescent="0.25">
      <c r="A9" s="1"/>
      <c r="B9" s="81" t="s">
        <v>17</v>
      </c>
      <c r="C9" s="83" t="s">
        <v>11</v>
      </c>
      <c r="D9" s="82"/>
      <c r="E9" s="83" t="s">
        <v>27</v>
      </c>
      <c r="F9" s="32"/>
      <c r="G9" s="1"/>
    </row>
    <row r="10" spans="1:7" x14ac:dyDescent="0.25">
      <c r="A10" s="1"/>
      <c r="B10" s="24" t="s">
        <v>239</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0"/>
      <c r="C16" s="120"/>
      <c r="D16" s="120"/>
      <c r="E16" s="120"/>
      <c r="F16" s="120"/>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0"/>
      <c r="C29" s="120"/>
      <c r="D29" s="120"/>
      <c r="E29" s="120"/>
      <c r="F29" s="120"/>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KeUVhjEoydCRUCtmrrE41lJlc0Q8p9yjc3bDMh3bQ5gtvlfY5mBJrEHlFn5F6hhVlVqsk0717fgxwjgW216ww==" saltValue="PiasS8//q1QDPeNZYEogs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25">
      <c r="A6" s="1"/>
      <c r="B6" s="76"/>
      <c r="C6" s="76"/>
      <c r="D6" s="76"/>
      <c r="E6" s="1"/>
    </row>
    <row r="7" spans="1:5" x14ac:dyDescent="0.25">
      <c r="A7" s="1"/>
      <c r="B7" s="1"/>
      <c r="C7" s="1"/>
      <c r="D7" s="1"/>
      <c r="E7" s="1"/>
    </row>
    <row r="8" spans="1:5" x14ac:dyDescent="0.25">
      <c r="A8" s="1"/>
      <c r="B8" s="112" t="s">
        <v>78</v>
      </c>
      <c r="C8" s="113"/>
      <c r="D8" s="114"/>
      <c r="E8" s="1"/>
    </row>
    <row r="9" spans="1:5" x14ac:dyDescent="0.25">
      <c r="A9" s="1"/>
      <c r="B9" s="66" t="s">
        <v>205</v>
      </c>
      <c r="C9" s="9">
        <v>2635683.7326677591</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2" t="s">
        <v>79</v>
      </c>
      <c r="C13" s="113"/>
      <c r="D13" s="114"/>
      <c r="E13" s="1"/>
    </row>
    <row r="14" spans="1:5" x14ac:dyDescent="0.25">
      <c r="A14" s="1"/>
      <c r="B14" s="66" t="s">
        <v>203</v>
      </c>
      <c r="C14" s="9">
        <v>0</v>
      </c>
      <c r="D14" s="14" t="s">
        <v>3</v>
      </c>
      <c r="E14" s="1"/>
    </row>
    <row r="15" spans="1:5" x14ac:dyDescent="0.25">
      <c r="A15" s="1"/>
      <c r="B15" s="66" t="s">
        <v>204</v>
      </c>
      <c r="C15" s="9">
        <v>0</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56008865.506697804</v>
      </c>
      <c r="D20" s="14" t="s">
        <v>3</v>
      </c>
      <c r="E20" s="1"/>
    </row>
    <row r="21" spans="1:5" x14ac:dyDescent="0.25">
      <c r="A21" s="1"/>
      <c r="B21" s="66" t="s">
        <v>208</v>
      </c>
      <c r="C21" s="9">
        <v>51128405</v>
      </c>
      <c r="D21" s="14" t="s">
        <v>3</v>
      </c>
      <c r="E21" s="1"/>
    </row>
    <row r="22" spans="1:5" x14ac:dyDescent="0.25">
      <c r="A22" s="1"/>
      <c r="B22" s="66" t="s">
        <v>29</v>
      </c>
      <c r="C22" s="9">
        <v>0</v>
      </c>
      <c r="D22" s="14" t="s">
        <v>3</v>
      </c>
      <c r="E22" s="1"/>
    </row>
    <row r="23" spans="1:5" x14ac:dyDescent="0.25">
      <c r="A23" s="1"/>
      <c r="B23" s="83" t="s">
        <v>209</v>
      </c>
      <c r="C23" s="57">
        <f>C20-C21-C22</f>
        <v>4880460.5066978037</v>
      </c>
      <c r="D23" s="17" t="s">
        <v>3</v>
      </c>
      <c r="E23" s="1"/>
    </row>
    <row r="24" spans="1:5" x14ac:dyDescent="0.25">
      <c r="A24" s="1"/>
      <c r="B24" s="33"/>
      <c r="C24" s="28"/>
      <c r="D24" s="19"/>
      <c r="E24" s="1"/>
    </row>
    <row r="25" spans="1:5" x14ac:dyDescent="0.25">
      <c r="A25" s="1"/>
      <c r="B25" s="1"/>
      <c r="C25" s="1"/>
      <c r="D25" s="1"/>
      <c r="E25" s="1"/>
    </row>
    <row r="26" spans="1:5" x14ac:dyDescent="0.25">
      <c r="A26" s="1"/>
      <c r="B26" s="112" t="s">
        <v>210</v>
      </c>
      <c r="C26" s="113"/>
      <c r="D26" s="114"/>
      <c r="E26" s="1"/>
    </row>
    <row r="27" spans="1:5" x14ac:dyDescent="0.25">
      <c r="A27" s="1"/>
      <c r="B27" s="83" t="s">
        <v>211</v>
      </c>
      <c r="C27" s="57">
        <f>IF(AND(C15&lt;0,C23&gt;0,ABS(SUM(C14:C15))&lt;C23),ABS(C14),IF(AND(C15&lt;0,C23&gt;0,ABS(SUM(C14:C15))&gt;C23),SUM(C14,C23),C15))</f>
        <v>0</v>
      </c>
      <c r="D27" s="17" t="s">
        <v>3</v>
      </c>
      <c r="E27" s="1"/>
    </row>
    <row r="28" spans="1:5" x14ac:dyDescent="0.25">
      <c r="A28" s="1"/>
      <c r="B28" s="112"/>
      <c r="C28" s="113"/>
      <c r="D28" s="114"/>
      <c r="E28" s="1"/>
    </row>
    <row r="29" spans="1:5" x14ac:dyDescent="0.25">
      <c r="A29" s="1"/>
      <c r="B29" s="1"/>
      <c r="C29" s="1"/>
      <c r="D29" s="1"/>
      <c r="E29" s="1"/>
    </row>
    <row r="30" spans="1:5" x14ac:dyDescent="0.25">
      <c r="A30" s="1"/>
      <c r="B30" s="112" t="s">
        <v>212</v>
      </c>
      <c r="C30" s="113"/>
      <c r="D30" s="114"/>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6/k/hGAEUC7nRZBZsu0FYW2ScB/bJRL5odpx2xuTBDS5M1MZ3m4HwrbGa4RIoo12n5pcdUqBu4tHjPIOxglpA==" saltValue="V8pVE6bXzIVXmwHF4VnAS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0" t="s">
        <v>102</v>
      </c>
      <c r="C3" s="110"/>
      <c r="D3" s="110"/>
      <c r="E3" s="1"/>
    </row>
    <row r="4" spans="1:5" ht="15" customHeight="1" x14ac:dyDescent="0.25">
      <c r="A4" s="1"/>
      <c r="B4" s="110"/>
      <c r="C4" s="110"/>
      <c r="D4" s="110"/>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112" t="s">
        <v>121</v>
      </c>
      <c r="C8" s="113"/>
      <c r="D8" s="114"/>
      <c r="E8" s="1"/>
    </row>
    <row r="9" spans="1:5" ht="15" customHeight="1" x14ac:dyDescent="0.25">
      <c r="A9" s="1"/>
      <c r="B9" s="127" t="s">
        <v>103</v>
      </c>
      <c r="C9" s="128"/>
      <c r="D9" s="129"/>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nI8NV70U5nNGGGk4IKJlKnMWcwTivk0v53uvNyTMeBRVlp1RWtMxupoCZqYml6MBmBS+Sy5y0f3X1Sm03vMSw==" saltValue="lXx4EbEMthvInWEVuQRso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171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2" t="s">
        <v>172</v>
      </c>
      <c r="C8" s="113"/>
      <c r="D8" s="114"/>
      <c r="E8" s="1"/>
    </row>
    <row r="9" spans="1:5" ht="26.25" x14ac:dyDescent="0.25">
      <c r="A9" s="1"/>
      <c r="B9" s="80" t="s">
        <v>216</v>
      </c>
      <c r="C9" s="7"/>
      <c r="D9" s="8" t="s">
        <v>3</v>
      </c>
      <c r="E9" s="1"/>
    </row>
    <row r="10" spans="1:5" ht="14.25" customHeight="1" x14ac:dyDescent="0.25">
      <c r="A10" s="1"/>
      <c r="B10" s="66" t="s">
        <v>173</v>
      </c>
      <c r="C10" s="7"/>
      <c r="D10" s="8" t="s">
        <v>3</v>
      </c>
      <c r="E10" s="1"/>
    </row>
    <row r="11" spans="1:5" ht="14.25" customHeight="1" x14ac:dyDescent="0.25">
      <c r="A11" s="1"/>
      <c r="B11" s="83" t="s">
        <v>49</v>
      </c>
      <c r="C11" s="10">
        <f>C10-C9</f>
        <v>0</v>
      </c>
      <c r="D11" s="11" t="s">
        <v>3</v>
      </c>
      <c r="E11" s="1"/>
    </row>
    <row r="12" spans="1:5" ht="14.25" customHeight="1" x14ac:dyDescent="0.25">
      <c r="A12" s="1"/>
      <c r="B12" s="112" t="s">
        <v>218</v>
      </c>
      <c r="C12" s="113"/>
      <c r="D12" s="114"/>
      <c r="E12" s="1"/>
    </row>
    <row r="13" spans="1:5" ht="26.25" x14ac:dyDescent="0.25">
      <c r="A13" s="1"/>
      <c r="B13" s="80" t="s">
        <v>217</v>
      </c>
      <c r="C13" s="7">
        <v>0</v>
      </c>
      <c r="D13" s="8" t="s">
        <v>3</v>
      </c>
      <c r="E13" s="1"/>
    </row>
    <row r="14" spans="1:5" ht="14.25" customHeight="1" x14ac:dyDescent="0.25">
      <c r="A14" s="1"/>
      <c r="B14" s="66" t="s">
        <v>174</v>
      </c>
      <c r="C14" s="7">
        <v>0</v>
      </c>
      <c r="D14" s="8" t="s">
        <v>3</v>
      </c>
      <c r="E14" s="1"/>
    </row>
    <row r="15" spans="1:5" ht="14.25" customHeight="1" x14ac:dyDescent="0.25">
      <c r="A15" s="1"/>
      <c r="B15" s="83"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xVpbFFkwclhj9iXBJBcnPEYgHh5hcsb6NZFSV5+Eg0y0rXuNbrKoLMbJnPKYXAtxbORuWoxbvTx1Sv5qjOezw==" saltValue="jIPkVn3TMYVE/V0FNdsjs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236</v>
      </c>
      <c r="C11" s="21">
        <v>42473.34</v>
      </c>
      <c r="D11" s="14" t="s">
        <v>3</v>
      </c>
      <c r="E11" s="9">
        <v>326412.45</v>
      </c>
      <c r="F11" s="14" t="s">
        <v>3</v>
      </c>
      <c r="G11" s="1"/>
    </row>
    <row r="12" spans="1:7" x14ac:dyDescent="0.25">
      <c r="A12" s="1"/>
      <c r="B12" s="24" t="s">
        <v>237</v>
      </c>
      <c r="C12" s="21">
        <v>5054.99</v>
      </c>
      <c r="D12" s="14" t="s">
        <v>3</v>
      </c>
      <c r="E12" s="9">
        <v>140018.76</v>
      </c>
      <c r="F12" s="14" t="s">
        <v>3</v>
      </c>
      <c r="G12" s="1"/>
    </row>
    <row r="13" spans="1:7" x14ac:dyDescent="0.25">
      <c r="A13" s="1"/>
      <c r="B13" s="24" t="s">
        <v>238</v>
      </c>
      <c r="C13" s="21">
        <v>256651.35</v>
      </c>
      <c r="D13" s="14" t="s">
        <v>3</v>
      </c>
      <c r="E13" s="9">
        <v>1355645.31</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304179.68</v>
      </c>
      <c r="D19" s="13" t="s">
        <v>3</v>
      </c>
      <c r="E19" s="12">
        <f>SUM(E10:E18)</f>
        <v>1822076.52</v>
      </c>
      <c r="F19" s="13" t="s">
        <v>3</v>
      </c>
      <c r="G19" s="1"/>
    </row>
    <row r="20" spans="1:7" x14ac:dyDescent="0.25">
      <c r="A20" s="1"/>
      <c r="B20" s="33" t="s">
        <v>176</v>
      </c>
      <c r="C20" s="12">
        <f>C19*(1+'Fane 15. Nøgletal'!C10)</f>
        <v>324346.79278399999</v>
      </c>
      <c r="D20" s="13" t="s">
        <v>3</v>
      </c>
      <c r="E20" s="12">
        <f>E19*(1+'Fane 15. Nøgletal'!C10)</f>
        <v>1942880.193276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fXXV6ZU3y9aMRVgl3iJiqD2AA2RzQM4bZ8cwQ2GKDhYz52VcvcDzboaZE/5G1/K1KML1q3ix5GpZm7SEF9oTQ==" saltValue="oyLBx5up+NHgoyN4xO+Gb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114</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87</v>
      </c>
      <c r="C8" s="113"/>
      <c r="D8" s="113"/>
      <c r="E8" s="113"/>
      <c r="F8" s="113"/>
      <c r="G8" s="113"/>
      <c r="H8" s="113"/>
      <c r="I8" s="113"/>
      <c r="J8" s="113"/>
      <c r="K8" s="114"/>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223</v>
      </c>
      <c r="C10" s="42">
        <v>0</v>
      </c>
      <c r="D10" s="9">
        <v>0</v>
      </c>
      <c r="E10" s="14" t="s">
        <v>3</v>
      </c>
      <c r="F10" s="9">
        <f>IFERROR(D10/C10,0)</f>
        <v>0</v>
      </c>
      <c r="G10" s="14" t="s">
        <v>3</v>
      </c>
      <c r="H10" s="38">
        <v>0</v>
      </c>
      <c r="I10" s="14" t="s">
        <v>3</v>
      </c>
      <c r="J10" s="38">
        <v>0</v>
      </c>
      <c r="K10" s="14" t="s">
        <v>3</v>
      </c>
      <c r="L10" s="1"/>
    </row>
    <row r="11" spans="1:12" x14ac:dyDescent="0.25">
      <c r="A11" s="1"/>
      <c r="B11" s="77" t="s">
        <v>220</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C//zz6N3hds+/XVYPkPyrlgGwgTeDTWjr12e6+nZcPyrdhKxXJlL39pv/KJSCJxQcuPqw7gqvGNx/ze+haCmwg==" saltValue="8ZMLMK+HSQoDNy3Zp7NPd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117</v>
      </c>
      <c r="C3" s="110"/>
      <c r="D3" s="110"/>
      <c r="E3" s="1"/>
    </row>
    <row r="4" spans="1:5" ht="15" customHeight="1" x14ac:dyDescent="0.25">
      <c r="A4" s="1"/>
      <c r="B4" s="110"/>
      <c r="C4" s="110"/>
      <c r="D4" s="110"/>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ht="14.25" customHeight="1" x14ac:dyDescent="0.25">
      <c r="A8" s="1"/>
      <c r="B8" s="112" t="s">
        <v>74</v>
      </c>
      <c r="C8" s="113"/>
      <c r="D8" s="114"/>
      <c r="E8" s="1"/>
    </row>
    <row r="9" spans="1:5" x14ac:dyDescent="0.25">
      <c r="A9" s="1"/>
      <c r="B9" s="69" t="s">
        <v>180</v>
      </c>
      <c r="C9" s="9"/>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2" t="s">
        <v>85</v>
      </c>
      <c r="C14" s="113"/>
      <c r="D14" s="114"/>
      <c r="E14" s="1"/>
    </row>
    <row r="15" spans="1:5" x14ac:dyDescent="0.25">
      <c r="A15" s="1"/>
      <c r="B15" s="69" t="s">
        <v>180</v>
      </c>
      <c r="C15" s="9"/>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2" t="s">
        <v>141</v>
      </c>
      <c r="C20" s="113"/>
      <c r="D20" s="114"/>
      <c r="E20" s="1"/>
    </row>
    <row r="21" spans="1:5" x14ac:dyDescent="0.25">
      <c r="A21" s="1"/>
      <c r="B21" s="69" t="s">
        <v>180</v>
      </c>
      <c r="C21" s="9"/>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2" t="s">
        <v>181</v>
      </c>
      <c r="C26" s="113"/>
      <c r="D26" s="114"/>
      <c r="E26" s="1"/>
    </row>
    <row r="27" spans="1:5" ht="14.25" customHeight="1" x14ac:dyDescent="0.25">
      <c r="A27" s="1"/>
      <c r="B27" s="69" t="s">
        <v>180</v>
      </c>
      <c r="C27" s="9"/>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zEPNiKWYuLnPG9CIFUgIb3JvyQ8BpGkYJheRM5qRl9va5KbW5qu8q4Dk90qghmxSzwOkifIgf80sKGW4Bf2AfQ==" saltValue="LYZNIaYKO8czIsEXXrxRe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118</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x14ac:dyDescent="0.25">
      <c r="A8" s="1"/>
      <c r="B8" s="112" t="s">
        <v>67</v>
      </c>
      <c r="C8" s="113"/>
      <c r="D8" s="113"/>
      <c r="E8" s="113"/>
      <c r="F8" s="114"/>
      <c r="G8" s="1"/>
    </row>
    <row r="9" spans="1:7" ht="15" customHeight="1" x14ac:dyDescent="0.25">
      <c r="A9" s="1"/>
      <c r="B9" s="31" t="s">
        <v>68</v>
      </c>
      <c r="C9" s="27" t="s">
        <v>11</v>
      </c>
      <c r="D9" s="32"/>
      <c r="E9" s="27" t="s">
        <v>27</v>
      </c>
      <c r="F9" s="32"/>
      <c r="G9" s="1"/>
    </row>
    <row r="10" spans="1:7" ht="26.25" x14ac:dyDescent="0.25">
      <c r="A10" s="1"/>
      <c r="B10" s="71" t="s">
        <v>221</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KpzNSpiYB858LFex47MhiBeAHwtUx40xX6PGSD+03xG+Unjo5HYvE+d/7D3Bx6bAQnjTyMzLLxqTDKuENbLciA==" saltValue="cSsoMnweU0Eh05icRzFpq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119</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2" t="s">
        <v>184</v>
      </c>
      <c r="C8" s="113"/>
      <c r="D8" s="113"/>
      <c r="E8" s="113"/>
      <c r="F8" s="114"/>
      <c r="G8" s="1"/>
    </row>
    <row r="9" spans="1:7" x14ac:dyDescent="0.25">
      <c r="A9" s="1"/>
      <c r="B9" s="31" t="s">
        <v>18</v>
      </c>
      <c r="C9" s="132" t="s">
        <v>11</v>
      </c>
      <c r="D9" s="133"/>
      <c r="E9" s="132" t="s">
        <v>27</v>
      </c>
      <c r="F9" s="133"/>
      <c r="G9" s="1"/>
    </row>
    <row r="10" spans="1:7" x14ac:dyDescent="0.25">
      <c r="A10" s="1"/>
      <c r="B10" s="71" t="s">
        <v>222</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215</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0"/>
      <c r="C14" s="120"/>
      <c r="D14" s="120"/>
      <c r="E14" s="120"/>
      <c r="F14" s="120"/>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0"/>
      <c r="C21" s="120"/>
      <c r="D21" s="120"/>
      <c r="E21" s="120"/>
      <c r="F21" s="120"/>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0"/>
      <c r="C27" s="120"/>
      <c r="D27" s="120"/>
      <c r="E27" s="120"/>
      <c r="F27" s="120"/>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Bykz32FO531qkZdr7v0jKtZZaBEn47mB1QnV2p2ZyO56NHH8HhNFy0gT2i0Vz/eE27GZ0PRLAKvmFZUwMCvQ==" saltValue="FzIbWr6Uwj8+kdRUYCktS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56603195.286606915</v>
      </c>
      <c r="D9" s="8" t="s">
        <v>3</v>
      </c>
      <c r="E9" s="1"/>
    </row>
    <row r="10" spans="1:5" ht="17.25" customHeight="1" x14ac:dyDescent="0.25">
      <c r="A10" s="1"/>
      <c r="B10" s="65" t="s">
        <v>35</v>
      </c>
      <c r="C10" s="7">
        <f>'Fane 11.1. Varige tillæg'!C20</f>
        <v>324346.79278399999</v>
      </c>
      <c r="D10" s="8" t="s">
        <v>3</v>
      </c>
      <c r="E10" s="1"/>
    </row>
    <row r="11" spans="1:5" ht="17.25" customHeight="1" x14ac:dyDescent="0.25">
      <c r="A11" s="1"/>
      <c r="B11" s="65" t="s">
        <v>36</v>
      </c>
      <c r="C11" s="9">
        <f>'Fane 11.1. Varige tillæg'!E20</f>
        <v>1942880.193276</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4723855.3283336163</v>
      </c>
      <c r="D16" s="8" t="s">
        <v>3</v>
      </c>
      <c r="E16" s="1"/>
    </row>
    <row r="17" spans="1:5" ht="17.25" customHeight="1" x14ac:dyDescent="0.25">
      <c r="A17" s="1"/>
      <c r="B17" s="65" t="s">
        <v>10</v>
      </c>
      <c r="C17" s="38">
        <f>-SUM(C9,C10:C16)*'Fane 5. Individuelt eff. krav'!C9</f>
        <v>-169455.67123600404</v>
      </c>
      <c r="D17" s="8" t="s">
        <v>3</v>
      </c>
      <c r="E17" s="1"/>
    </row>
    <row r="18" spans="1:5" ht="17.25" customHeight="1" x14ac:dyDescent="0.25">
      <c r="A18" s="1"/>
      <c r="B18" s="65" t="s">
        <v>22</v>
      </c>
      <c r="C18" s="38">
        <f>-'Fane 4.1. Gen. krav - drift'!C17</f>
        <v>-290941.74618797138</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63133880.183576562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6518099.6485944781</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0</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69651979.832171038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6/nTm7b1pM4E71J2FxPgJJrQwzEpxD8kKoPc5t79oHj7yACOpCH6KSA1ASlHUzghcCSQqE2COVZyzBmUOnidOA==" saltValue="X/JdaZX6ni09mA+0OHb3W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0" t="s">
        <v>120</v>
      </c>
      <c r="C3" s="110"/>
      <c r="D3" s="1"/>
    </row>
    <row r="4" spans="1:4" ht="15" customHeight="1" x14ac:dyDescent="0.25">
      <c r="A4" s="1"/>
      <c r="B4" s="110"/>
      <c r="C4" s="110"/>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214</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6UEOXHor43wnsbdGzw8uQHh4Hd5P/eSm9UdQ4Tm5zeD3tfGtVIkrD+Ge4x+APABoyCqzVkTtujCDAN7/+NZVDA==" saltValue="7XJh7QWCuhyZS9vPhtC3k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63133880.183576562</v>
      </c>
      <c r="D9" s="8" t="s">
        <v>3</v>
      </c>
      <c r="E9" s="1"/>
    </row>
    <row r="10" spans="1:5" ht="15" customHeight="1" x14ac:dyDescent="0.25">
      <c r="A10" s="1"/>
      <c r="B10" s="26" t="s">
        <v>19</v>
      </c>
      <c r="C10" s="7">
        <f>C9*'Fane 15. Nøgletal'!C10</f>
        <v>4185776.2561711259</v>
      </c>
      <c r="D10" s="8" t="s">
        <v>3</v>
      </c>
      <c r="E10" s="1"/>
    </row>
    <row r="11" spans="1:5" ht="15" customHeight="1" x14ac:dyDescent="0.25">
      <c r="A11" s="1"/>
      <c r="B11" s="26" t="s">
        <v>10</v>
      </c>
      <c r="C11" s="9">
        <f>-SUM(C9:C10)*'Fane 5. Individuelt eff. krav'!C9</f>
        <v>-179382.4538891397</v>
      </c>
      <c r="D11" s="8" t="s">
        <v>3</v>
      </c>
      <c r="E11" s="1"/>
    </row>
    <row r="12" spans="1:5" ht="15" customHeight="1" x14ac:dyDescent="0.25">
      <c r="A12" s="1"/>
      <c r="B12" s="26" t="s">
        <v>22</v>
      </c>
      <c r="C12" s="9">
        <f>-'Fane 4.1. Gen. krav - drift'!C22</f>
        <v>-304026.56028102915</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66836247.425577514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6950249.6552962922</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73786497.080873802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fWToCMYbWr4WC+mW3Xv/LfCrRZ44seIwWe4Ez6pynPkNhYxdVqT24KuCMXIfdWFmR2M65NyPtJjyfeYqPiEWA==" saltValue="sFs0ctgeqOWZ3X6FZgyFm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66836247.425577514</v>
      </c>
      <c r="D9" s="8" t="s">
        <v>3</v>
      </c>
      <c r="E9" s="1"/>
    </row>
    <row r="10" spans="1:5" ht="15" customHeight="1" x14ac:dyDescent="0.25">
      <c r="A10" s="1"/>
      <c r="B10" s="26" t="s">
        <v>19</v>
      </c>
      <c r="C10" s="7">
        <f>SUM(C9:C9)*'Fane 15. Nøgletal'!C10</f>
        <v>4431243.204315789</v>
      </c>
      <c r="D10" s="8" t="s">
        <v>3</v>
      </c>
      <c r="E10" s="1"/>
    </row>
    <row r="11" spans="1:5" ht="15" customHeight="1" x14ac:dyDescent="0.25">
      <c r="A11" s="1"/>
      <c r="B11" s="26" t="s">
        <v>10</v>
      </c>
      <c r="C11" s="9">
        <f>-SUM(C9:C10)*'Fane 5. Individuelt eff. krav'!C9</f>
        <v>-189901.99932397998</v>
      </c>
      <c r="D11" s="8" t="s">
        <v>3</v>
      </c>
      <c r="E11" s="1"/>
    </row>
    <row r="12" spans="1:5" ht="15" customHeight="1" x14ac:dyDescent="0.25">
      <c r="A12" s="1"/>
      <c r="B12" s="26" t="s">
        <v>22</v>
      </c>
      <c r="C12" s="9">
        <f>-'Fane 4.1. Gen. krav - drift'!C27</f>
        <v>-317699.85080310819</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70759888.779766217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7411051.2074424364</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78170939.98720865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7+O0sY82HjG1FLmiU6fE4uhStmjx67BVyQdUaM0uL2BQQgRvNKgXyeymrkcVc/b8CJw49T7OH9EW+ceE/pH+Q==" saltValue="lwwdH7nyjrkQvp1RBSWrt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159</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70759888.779766217</v>
      </c>
      <c r="D9" s="8" t="s">
        <v>3</v>
      </c>
      <c r="E9" s="1"/>
    </row>
    <row r="10" spans="1:5" ht="15" customHeight="1" x14ac:dyDescent="0.25">
      <c r="A10" s="1"/>
      <c r="B10" s="26" t="s">
        <v>19</v>
      </c>
      <c r="C10" s="7">
        <f>SUM(C9:C9)*'Fane 15. Nøgletal'!C10</f>
        <v>4691380.6260984996</v>
      </c>
      <c r="D10" s="8" t="s">
        <v>3</v>
      </c>
      <c r="E10" s="1"/>
    </row>
    <row r="11" spans="1:5" ht="15" customHeight="1" x14ac:dyDescent="0.25">
      <c r="A11" s="1"/>
      <c r="B11" s="26" t="s">
        <v>10</v>
      </c>
      <c r="C11" s="9">
        <f>-SUM(C9:C10)*'Fane 5. Individuelt eff. krav'!C9</f>
        <v>-201050.25145498663</v>
      </c>
      <c r="D11" s="8" t="s">
        <v>3</v>
      </c>
      <c r="E11" s="1"/>
    </row>
    <row r="12" spans="1:5" ht="15" customHeight="1" x14ac:dyDescent="0.25">
      <c r="A12" s="1"/>
      <c r="B12" s="26" t="s">
        <v>22</v>
      </c>
      <c r="C12" s="9">
        <f>-'Fane 4.1. Gen. krav - drift'!C32</f>
        <v>-331988.08389312716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74918231.070516616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7902403.9024958704</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82820634.973012492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1f08/T3eXYLdCQr812ZUzZmy1Jgese4Nfy/vuZWxD2VyY+4YdCCRWQ1ttfu2K0nsMch/aB9c8llCnb6frukxA==" saltValue="S+YdfpQ3/Yum3pOIK4LQM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0" t="s">
        <v>162</v>
      </c>
      <c r="C3" s="110"/>
      <c r="D3" s="110"/>
      <c r="E3" s="1"/>
    </row>
    <row r="4" spans="1:5" ht="15" customHeight="1" x14ac:dyDescent="0.25">
      <c r="A4" s="1"/>
      <c r="B4" s="110"/>
      <c r="C4" s="110"/>
      <c r="D4" s="110"/>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51398339.544066384</v>
      </c>
      <c r="D9" s="8" t="s">
        <v>3</v>
      </c>
      <c r="E9" s="1"/>
    </row>
    <row r="10" spans="1:5" ht="15" customHeight="1" x14ac:dyDescent="0.25">
      <c r="A10" s="1"/>
      <c r="B10" s="65" t="s">
        <v>35</v>
      </c>
      <c r="C10" s="63">
        <v>277232.76559999998</v>
      </c>
      <c r="D10" s="8" t="s">
        <v>3</v>
      </c>
      <c r="E10" s="1"/>
    </row>
    <row r="11" spans="1:5" ht="15" customHeight="1" x14ac:dyDescent="0.25">
      <c r="A11" s="1"/>
      <c r="B11" s="65" t="s">
        <v>36</v>
      </c>
      <c r="C11" s="63">
        <v>1084694.1224</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4263029.527710964</v>
      </c>
      <c r="D16" s="8" t="s">
        <v>3</v>
      </c>
      <c r="E16" s="1"/>
    </row>
    <row r="17" spans="1:5" ht="15" customHeight="1" x14ac:dyDescent="0.25">
      <c r="A17" s="1"/>
      <c r="B17" s="65" t="s">
        <v>10</v>
      </c>
      <c r="C17" s="9">
        <v>-151946.38979280365</v>
      </c>
      <c r="D17" s="8" t="s">
        <v>3</v>
      </c>
      <c r="E17" s="1"/>
    </row>
    <row r="18" spans="1:5" ht="15" customHeight="1" x14ac:dyDescent="0.25">
      <c r="A18" s="1"/>
      <c r="B18" s="65" t="s">
        <v>22</v>
      </c>
      <c r="C18" s="9">
        <v>-268154.28337763762</v>
      </c>
      <c r="D18" s="8" t="s">
        <v>3</v>
      </c>
      <c r="E18" s="43"/>
    </row>
    <row r="19" spans="1:5" ht="15" customHeight="1" x14ac:dyDescent="0.25">
      <c r="A19" s="1"/>
      <c r="B19" s="65" t="s">
        <v>23</v>
      </c>
      <c r="C19" s="9">
        <v>0</v>
      </c>
      <c r="D19" s="8" t="s">
        <v>3</v>
      </c>
      <c r="E19" s="1"/>
    </row>
    <row r="20" spans="1:5" ht="15" customHeight="1" x14ac:dyDescent="0.25">
      <c r="A20" s="1"/>
      <c r="B20" s="83" t="s">
        <v>21</v>
      </c>
      <c r="C20" s="10">
        <v>56603195.286606915</v>
      </c>
      <c r="D20" s="11" t="s">
        <v>3</v>
      </c>
      <c r="E20" s="1"/>
    </row>
    <row r="21" spans="1:5" ht="15" customHeight="1" x14ac:dyDescent="0.25">
      <c r="A21" s="1"/>
      <c r="B21" s="33" t="s">
        <v>12</v>
      </c>
      <c r="C21" s="28"/>
      <c r="D21" s="19"/>
      <c r="E21" s="1"/>
    </row>
    <row r="22" spans="1:5" ht="15" customHeight="1" x14ac:dyDescent="0.25">
      <c r="A22" s="1"/>
      <c r="B22" s="31" t="s">
        <v>12</v>
      </c>
      <c r="C22" s="10">
        <v>4732527.1221548542</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224</v>
      </c>
      <c r="C28" s="9">
        <v>0</v>
      </c>
      <c r="D28" s="8" t="s">
        <v>3</v>
      </c>
      <c r="E28" s="1"/>
    </row>
    <row r="29" spans="1:5" ht="15" customHeight="1" x14ac:dyDescent="0.25">
      <c r="A29" s="1"/>
      <c r="B29" s="72" t="s">
        <v>225</v>
      </c>
      <c r="C29" s="9">
        <v>0</v>
      </c>
      <c r="D29" s="8" t="s">
        <v>3</v>
      </c>
      <c r="E29" s="1"/>
    </row>
    <row r="30" spans="1:5" ht="15" customHeight="1" x14ac:dyDescent="0.25">
      <c r="A30" s="1"/>
      <c r="B30" s="83" t="s">
        <v>44</v>
      </c>
      <c r="C30" s="10">
        <v>0</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0</v>
      </c>
      <c r="D34" s="11" t="s">
        <v>3</v>
      </c>
      <c r="E34" s="1"/>
    </row>
    <row r="35" spans="1:5" ht="15.4" customHeight="1" x14ac:dyDescent="0.25">
      <c r="A35" s="1"/>
      <c r="B35" s="107" t="s">
        <v>76</v>
      </c>
      <c r="C35" s="108"/>
      <c r="D35" s="109"/>
      <c r="E35" s="1"/>
    </row>
    <row r="36" spans="1:5" x14ac:dyDescent="0.25">
      <c r="A36" s="1"/>
      <c r="B36" s="68" t="s">
        <v>77</v>
      </c>
      <c r="C36" s="10">
        <v>0</v>
      </c>
      <c r="D36" s="11" t="s">
        <v>3</v>
      </c>
      <c r="E36" s="1"/>
    </row>
    <row r="37" spans="1:5" x14ac:dyDescent="0.25">
      <c r="A37" s="1"/>
      <c r="B37" s="33" t="s">
        <v>66</v>
      </c>
      <c r="C37" s="12">
        <v>61335722.40876177</v>
      </c>
      <c r="D37" s="13" t="s">
        <v>3</v>
      </c>
      <c r="E37" s="1"/>
    </row>
    <row r="38" spans="1:5" ht="30" customHeight="1" x14ac:dyDescent="0.25">
      <c r="A38" s="1"/>
      <c r="B38" s="111" t="s">
        <v>226</v>
      </c>
      <c r="C38" s="111"/>
      <c r="D38" s="111"/>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4"/>
      <c r="B48" s="44"/>
      <c r="C48" s="44"/>
      <c r="D48" s="44"/>
      <c r="E48" s="44"/>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IWS4BFgknQuG/FeCWbWppfqG9E60gvwkAsYCev0tewIvlmqzy9m4KN1nGiKj2kySPXuAb+egxPOmkb5avaqWCg==" saltValue="rD/90yjvsMqqB+Dwfq2EIg=="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25">
      <c r="A6" s="1"/>
      <c r="B6" s="76"/>
      <c r="C6" s="76"/>
      <c r="D6" s="76"/>
      <c r="E6" s="1"/>
    </row>
    <row r="7" spans="1:5" x14ac:dyDescent="0.25">
      <c r="A7" s="1"/>
      <c r="B7" s="1"/>
      <c r="C7" s="1"/>
      <c r="D7" s="1"/>
      <c r="E7" s="1"/>
    </row>
    <row r="8" spans="1:5" x14ac:dyDescent="0.25">
      <c r="A8" s="1"/>
      <c r="B8" s="112" t="s">
        <v>124</v>
      </c>
      <c r="C8" s="113"/>
      <c r="D8" s="114"/>
      <c r="E8" s="1"/>
    </row>
    <row r="9" spans="1:5" x14ac:dyDescent="0.25">
      <c r="A9" s="1"/>
      <c r="B9" s="66" t="s">
        <v>89</v>
      </c>
      <c r="C9" s="23">
        <v>13108080.995821401</v>
      </c>
      <c r="D9" s="14" t="s">
        <v>3</v>
      </c>
      <c r="E9" s="1"/>
    </row>
    <row r="10" spans="1:5" x14ac:dyDescent="0.25">
      <c r="A10" s="1"/>
      <c r="B10" s="66" t="s">
        <v>126</v>
      </c>
      <c r="C10" s="23">
        <f>('Fane 3. Omkostninger i ØR2024'!C10+'Fane 3. Omkostninger i ØR2024'!C12+'Fane 3. Omkostninger i ØR2024'!C14)*(1+'Fane 15. Nøgletal'!C9)</f>
        <v>299633.17306047998</v>
      </c>
      <c r="D10" s="14" t="s">
        <v>3</v>
      </c>
      <c r="E10" s="1"/>
    </row>
    <row r="11" spans="1:5" x14ac:dyDescent="0.25">
      <c r="A11" s="1"/>
      <c r="B11" s="66" t="s">
        <v>132</v>
      </c>
      <c r="C11" s="23">
        <f>C9*'Fane 15. Nøgletal'!C21+C10*'Fane 15. Nøgletal'!C21</f>
        <v>268154.28337763768</v>
      </c>
      <c r="D11" s="14" t="s">
        <v>3</v>
      </c>
      <c r="E11" s="1"/>
    </row>
    <row r="12" spans="1:5" x14ac:dyDescent="0.25">
      <c r="A12" s="1"/>
      <c r="B12" s="33"/>
      <c r="C12" s="28"/>
      <c r="D12" s="19"/>
      <c r="E12" s="1"/>
    </row>
    <row r="13" spans="1:5" x14ac:dyDescent="0.25">
      <c r="A13" s="1"/>
      <c r="B13" s="1"/>
      <c r="C13" s="1"/>
      <c r="D13" s="1"/>
      <c r="E13" s="1"/>
    </row>
    <row r="14" spans="1:5" x14ac:dyDescent="0.25">
      <c r="A14" s="1"/>
      <c r="B14" s="112" t="s">
        <v>125</v>
      </c>
      <c r="C14" s="113"/>
      <c r="D14" s="114"/>
      <c r="E14" s="1"/>
    </row>
    <row r="15" spans="1:5" x14ac:dyDescent="0.25">
      <c r="A15" s="1"/>
      <c r="B15" s="66" t="s">
        <v>134</v>
      </c>
      <c r="C15" s="23">
        <f>(C9+C10-C11)*(1+'Fane 15. Nøgletal'!C9)</f>
        <v>14201236.324252987</v>
      </c>
      <c r="D15" s="14" t="s">
        <v>3</v>
      </c>
      <c r="E15" s="1"/>
    </row>
    <row r="16" spans="1:5" x14ac:dyDescent="0.25">
      <c r="A16" s="1"/>
      <c r="B16" s="66" t="s">
        <v>185</v>
      </c>
      <c r="C16" s="23">
        <f>('Fane 2.1. Økonomisk ramme 2025'!C10+'Fane 2.1. Økonomisk ramme 2025'!C12+'Fane 2.1. Økonomisk ramme 2025'!C14)*(1+'Fane 15. Nøgletal'!C10)</f>
        <v>345850.98514557921</v>
      </c>
      <c r="D16" s="14" t="s">
        <v>3</v>
      </c>
      <c r="E16" s="1"/>
    </row>
    <row r="17" spans="1:5" x14ac:dyDescent="0.25">
      <c r="A17" s="1"/>
      <c r="B17" s="66" t="s">
        <v>133</v>
      </c>
      <c r="C17" s="23">
        <f>C15*'Fane 15. Nøgletal'!C21+C16*'Fane 15. Nøgletal'!C21</f>
        <v>290941.74618797138</v>
      </c>
      <c r="D17" s="14" t="s">
        <v>3</v>
      </c>
      <c r="E17" s="1"/>
    </row>
    <row r="18" spans="1:5" x14ac:dyDescent="0.25">
      <c r="A18" s="1"/>
      <c r="B18" s="33"/>
      <c r="C18" s="28"/>
      <c r="D18" s="19"/>
      <c r="E18" s="1"/>
    </row>
    <row r="19" spans="1:5" x14ac:dyDescent="0.25">
      <c r="A19" s="1"/>
      <c r="B19" s="1"/>
      <c r="C19" s="64"/>
      <c r="D19" s="1"/>
      <c r="E19" s="1"/>
    </row>
    <row r="20" spans="1:5" x14ac:dyDescent="0.25">
      <c r="A20" s="1"/>
      <c r="B20" s="112" t="s">
        <v>146</v>
      </c>
      <c r="C20" s="113"/>
      <c r="D20" s="114"/>
      <c r="E20" s="1"/>
    </row>
    <row r="21" spans="1:5" x14ac:dyDescent="0.25">
      <c r="A21" s="1"/>
      <c r="B21" s="66" t="s">
        <v>190</v>
      </c>
      <c r="C21" s="23">
        <f>(C15+C16-C17)*(1+'Fane 15. Nøgletal'!C10)</f>
        <v>15201328.014051458</v>
      </c>
      <c r="D21" s="14" t="s">
        <v>3</v>
      </c>
      <c r="E21" s="1"/>
    </row>
    <row r="22" spans="1:5" x14ac:dyDescent="0.25">
      <c r="A22" s="1"/>
      <c r="B22" s="66" t="s">
        <v>197</v>
      </c>
      <c r="C22" s="23">
        <f>C21*'Fane 15. Nøgletal'!C21</f>
        <v>304026.56028102915</v>
      </c>
      <c r="D22" s="14" t="s">
        <v>3</v>
      </c>
      <c r="E22" s="1"/>
    </row>
    <row r="23" spans="1:5" x14ac:dyDescent="0.25">
      <c r="A23" s="1"/>
      <c r="B23" s="33"/>
      <c r="C23" s="28"/>
      <c r="D23" s="19"/>
      <c r="E23" s="1"/>
    </row>
    <row r="24" spans="1:5" x14ac:dyDescent="0.25">
      <c r="A24" s="1"/>
      <c r="B24" s="1"/>
      <c r="C24" s="1"/>
      <c r="D24" s="1"/>
      <c r="E24" s="1"/>
    </row>
    <row r="25" spans="1:5" x14ac:dyDescent="0.25">
      <c r="A25" s="1"/>
      <c r="B25" s="112" t="s">
        <v>188</v>
      </c>
      <c r="C25" s="113"/>
      <c r="D25" s="114"/>
      <c r="E25" s="1"/>
    </row>
    <row r="26" spans="1:5" x14ac:dyDescent="0.25">
      <c r="A26" s="1"/>
      <c r="B26" s="66" t="s">
        <v>191</v>
      </c>
      <c r="C26" s="23">
        <f>(C21-C22)*(1+'Fane 15. Nøgletal'!C10)</f>
        <v>15884992.540155409</v>
      </c>
      <c r="D26" s="14" t="s">
        <v>3</v>
      </c>
      <c r="E26" s="1"/>
    </row>
    <row r="27" spans="1:5" x14ac:dyDescent="0.25">
      <c r="A27" s="1"/>
      <c r="B27" s="66" t="s">
        <v>195</v>
      </c>
      <c r="C27" s="23">
        <f>C26*'Fane 15. Nøgletal'!C21</f>
        <v>317699.85080310819</v>
      </c>
      <c r="D27" s="14" t="s">
        <v>3</v>
      </c>
      <c r="E27" s="1"/>
    </row>
    <row r="28" spans="1:5" x14ac:dyDescent="0.25">
      <c r="A28" s="1"/>
      <c r="B28" s="33"/>
      <c r="C28" s="28"/>
      <c r="D28" s="19"/>
      <c r="E28" s="1"/>
    </row>
    <row r="29" spans="1:5" x14ac:dyDescent="0.25">
      <c r="A29" s="1"/>
      <c r="B29" s="1"/>
      <c r="C29" s="1"/>
      <c r="D29" s="1"/>
      <c r="E29" s="1"/>
    </row>
    <row r="30" spans="1:5" x14ac:dyDescent="0.25">
      <c r="A30" s="1"/>
      <c r="B30" s="112" t="s">
        <v>189</v>
      </c>
      <c r="C30" s="113"/>
      <c r="D30" s="114"/>
      <c r="E30" s="1"/>
    </row>
    <row r="31" spans="1:5" x14ac:dyDescent="0.25">
      <c r="A31" s="1"/>
      <c r="B31" s="66" t="s">
        <v>192</v>
      </c>
      <c r="C31" s="23">
        <f>(C26-C27)*(1+'Fane 15. Nøgletal'!C10)</f>
        <v>16599404.194656357</v>
      </c>
      <c r="D31" s="14" t="s">
        <v>3</v>
      </c>
      <c r="E31" s="1"/>
    </row>
    <row r="32" spans="1:5" x14ac:dyDescent="0.25">
      <c r="A32" s="1"/>
      <c r="B32" s="66" t="s">
        <v>196</v>
      </c>
      <c r="C32" s="23">
        <f>C31*'Fane 15. Nøgletal'!C21</f>
        <v>331988.08389312716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MaCujBGYH9Yn6C2uvRXJV+pgO4EDxzyohzhiS0iDnmOvU4kJsGll77YcAbk7+BHVkumH3c4NX1XNNT1bUMWyg==" saltValue="u7wd0TgrS1SjX+yyiCbPr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5" t="s">
        <v>58</v>
      </c>
      <c r="C3" s="115"/>
      <c r="D3" s="115"/>
      <c r="E3" s="1"/>
    </row>
    <row r="4" spans="1:5" ht="15" customHeight="1" x14ac:dyDescent="0.25">
      <c r="A4" s="1"/>
      <c r="B4" s="115"/>
      <c r="C4" s="115"/>
      <c r="D4" s="115"/>
      <c r="E4" s="1"/>
    </row>
    <row r="5" spans="1:5" ht="15" customHeight="1" x14ac:dyDescent="0.25">
      <c r="A5" s="1"/>
      <c r="B5" s="115"/>
      <c r="C5" s="115"/>
      <c r="D5" s="115"/>
      <c r="E5" s="1"/>
    </row>
    <row r="6" spans="1:5" ht="15" customHeight="1" x14ac:dyDescent="0.35">
      <c r="A6" s="1"/>
      <c r="B6" s="70"/>
      <c r="C6" s="70"/>
      <c r="D6" s="70"/>
      <c r="E6" s="1"/>
    </row>
    <row r="7" spans="1:5" x14ac:dyDescent="0.25">
      <c r="A7" s="1"/>
      <c r="B7" s="1"/>
      <c r="C7" s="1"/>
      <c r="D7" s="1"/>
      <c r="E7" s="1"/>
    </row>
    <row r="8" spans="1:5" x14ac:dyDescent="0.25">
      <c r="A8" s="1"/>
      <c r="B8" s="112" t="s">
        <v>148</v>
      </c>
      <c r="C8" s="113"/>
      <c r="D8" s="114"/>
      <c r="E8" s="1"/>
    </row>
    <row r="9" spans="1:5" x14ac:dyDescent="0.25">
      <c r="A9" s="1"/>
      <c r="B9" s="66" t="s">
        <v>135</v>
      </c>
      <c r="C9" s="23">
        <v>43705023.938413732</v>
      </c>
      <c r="D9" s="14" t="s">
        <v>3</v>
      </c>
      <c r="E9" s="1"/>
    </row>
    <row r="10" spans="1:5" x14ac:dyDescent="0.25">
      <c r="A10" s="1"/>
      <c r="B10" s="66" t="s">
        <v>127</v>
      </c>
      <c r="C10" s="23">
        <f>('Fane 3. Omkostninger i ØR2024'!C11+'Fane 3. Omkostninger i ØR2024'!C13+'Fane 3. Omkostninger i ØR2024'!C15)*(1+'Fane 15. Nøgletal'!C9)</f>
        <v>1172337.40748992</v>
      </c>
      <c r="D10" s="14" t="s">
        <v>3</v>
      </c>
      <c r="E10" s="1"/>
    </row>
    <row r="11" spans="1:5" x14ac:dyDescent="0.25">
      <c r="A11" s="1"/>
      <c r="B11" s="66" t="s">
        <v>136</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2" t="s">
        <v>147</v>
      </c>
      <c r="C14" s="113"/>
      <c r="D14" s="114"/>
      <c r="E14" s="1"/>
    </row>
    <row r="15" spans="1:5" x14ac:dyDescent="0.25">
      <c r="A15" s="1"/>
      <c r="B15" s="66" t="s">
        <v>137</v>
      </c>
      <c r="C15" s="23">
        <f>(C9+C10-C11)*(1+'Fane 15. Nøgletal'!C9)</f>
        <v>48503452.142652661</v>
      </c>
      <c r="D15" s="14" t="s">
        <v>3</v>
      </c>
      <c r="E15" s="1"/>
    </row>
    <row r="16" spans="1:5" x14ac:dyDescent="0.25">
      <c r="A16" s="1"/>
      <c r="B16" s="66" t="s">
        <v>186</v>
      </c>
      <c r="C16" s="23">
        <f>('Fane 2.1. Økonomisk ramme 2025'!C11+'Fane 2.1. Økonomisk ramme 2025'!C13+'Fane 2.1. Økonomisk ramme 2025'!C15)*(1+'Fane 15. Nøgletal'!C10)</f>
        <v>2071693.1500901987</v>
      </c>
      <c r="D16" s="14" t="s">
        <v>3</v>
      </c>
      <c r="E16" s="1"/>
    </row>
    <row r="17" spans="1:5" x14ac:dyDescent="0.25">
      <c r="A17" s="1"/>
      <c r="B17" s="66" t="s">
        <v>138</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2" t="s">
        <v>83</v>
      </c>
      <c r="C20" s="113"/>
      <c r="D20" s="114"/>
      <c r="E20" s="1"/>
    </row>
    <row r="21" spans="1:5" x14ac:dyDescent="0.25">
      <c r="A21" s="1"/>
      <c r="B21" s="66" t="s">
        <v>193</v>
      </c>
      <c r="C21" s="23">
        <f>(C15+C16-C17)*(1+'Fane 15. Nøgletal'!C10)</f>
        <v>53928277.425651707</v>
      </c>
      <c r="D21" s="14" t="s">
        <v>3</v>
      </c>
      <c r="E21" s="1"/>
    </row>
    <row r="22" spans="1:5" x14ac:dyDescent="0.25">
      <c r="A22" s="1"/>
      <c r="B22" s="66" t="s">
        <v>198</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2" t="s">
        <v>139</v>
      </c>
      <c r="C25" s="113"/>
      <c r="D25" s="114"/>
      <c r="E25" s="1"/>
    </row>
    <row r="26" spans="1:5" x14ac:dyDescent="0.25">
      <c r="A26" s="1"/>
      <c r="B26" s="66" t="s">
        <v>194</v>
      </c>
      <c r="C26" s="23">
        <f>(C21-C22)*(1+'Fane 15. Nøgletal'!C10)</f>
        <v>57503722.218972415</v>
      </c>
      <c r="D26" s="14" t="s">
        <v>3</v>
      </c>
      <c r="E26" s="1"/>
    </row>
    <row r="27" spans="1:5" x14ac:dyDescent="0.25">
      <c r="A27" s="1"/>
      <c r="B27" s="66" t="s">
        <v>199</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2" t="s">
        <v>164</v>
      </c>
      <c r="C30" s="113"/>
      <c r="D30" s="114"/>
      <c r="E30" s="1"/>
    </row>
    <row r="31" spans="1:5" x14ac:dyDescent="0.25">
      <c r="A31" s="1"/>
      <c r="B31" s="66" t="s">
        <v>201</v>
      </c>
      <c r="C31" s="23">
        <f>(C26-C27)*(1+'Fane 15. Nøgletal'!C10)</f>
        <v>61316219.00209029</v>
      </c>
      <c r="D31" s="14" t="s">
        <v>3</v>
      </c>
      <c r="E31" s="1"/>
    </row>
    <row r="32" spans="1:5" x14ac:dyDescent="0.25">
      <c r="A32" s="1"/>
      <c r="B32" s="66" t="s">
        <v>200</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pkabtvbP8diQBmLEEGza6I+zwCrWrO3rpKYzMMq6BluaVwdWkQZogFLrFKYp2kS4GV5noNp3yUHhdCzC6QEGA==" saltValue="el++3RWU6UNxVNGypOltZ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45</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2" t="s">
        <v>10</v>
      </c>
      <c r="C8" s="114"/>
      <c r="D8" s="1"/>
    </row>
    <row r="9" spans="1:4" x14ac:dyDescent="0.25">
      <c r="A9" s="1"/>
      <c r="B9" s="66" t="s">
        <v>165</v>
      </c>
      <c r="C9" s="22">
        <v>2.664637096739943E-3</v>
      </c>
      <c r="D9" s="1"/>
    </row>
    <row r="10" spans="1:4" x14ac:dyDescent="0.25">
      <c r="A10" s="1"/>
      <c r="B10" s="33"/>
      <c r="C10" s="19"/>
      <c r="D10" s="1"/>
    </row>
    <row r="11" spans="1:4" x14ac:dyDescent="0.25">
      <c r="A11" s="1"/>
      <c r="B11" s="116" t="s">
        <v>219</v>
      </c>
      <c r="C11" s="117"/>
      <c r="D11" s="1"/>
    </row>
    <row r="12" spans="1:4" x14ac:dyDescent="0.25">
      <c r="A12" s="1"/>
      <c r="B12" s="118"/>
      <c r="C12" s="119"/>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leTRmTSrcq+p5B0msZEDvVZDJUEDa/IXV2tCGN74S9ix3++hwpnebtn2/jVjAFMNlsjmRvvXzpw/N9hdJXrwOg==" saltValue="Hedqfd+HFAbHC2RIug2m5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11.2. Engangstillæg</vt:lpstr>
      <vt:lpstr>Fane 7. Kontrol af ØR2023</vt:lpstr>
      <vt:lpstr>Fane 8. Skattesagen</vt:lpstr>
      <vt:lpstr>Fane 9. Korrektion af ØR2023</vt:lpstr>
      <vt:lpstr>Fane 11.1. Varige tillæg</vt:lpstr>
      <vt:lpstr>Fane 10. Anlægsprojekter (§ 19)</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2024-08-21T11:42:51Z</dcterms:modified>
</cp:coreProperties>
</file>