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Vandfællesskabet Nordvestsjælland (V202)\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s>
  <calcPr calcId="162913" calcMode="manual"/>
</workbook>
</file>

<file path=xl/calcChain.xml><?xml version="1.0" encoding="utf-8"?>
<calcChain xmlns="http://schemas.openxmlformats.org/spreadsheetml/2006/main">
  <c r="C17" i="2" l="1"/>
  <c r="C15" i="2"/>
  <c r="E12" i="37" l="1"/>
  <c r="C12" i="37"/>
  <c r="E17" i="32" l="1"/>
  <c r="E16" i="32"/>
  <c r="E32" i="27" l="1"/>
  <c r="C19" i="23"/>
  <c r="C19" i="22"/>
  <c r="C19" i="15"/>
  <c r="C31" i="2"/>
  <c r="G18" i="40" l="1"/>
  <c r="E25" i="32" l="1"/>
  <c r="E29" i="32" s="1"/>
  <c r="E31" i="32" s="1"/>
  <c r="C17" i="15" l="1"/>
  <c r="C29" i="2"/>
  <c r="F10" i="11"/>
  <c r="E12" i="39" l="1"/>
  <c r="C12" i="39"/>
  <c r="E11" i="29"/>
  <c r="E12" i="29" s="1"/>
  <c r="C14" i="2" s="1"/>
  <c r="C11" i="29"/>
  <c r="J11" i="11"/>
  <c r="H11" i="11"/>
  <c r="C13" i="19"/>
  <c r="C14" i="19" l="1"/>
  <c r="F11" i="11" l="1"/>
  <c r="E10" i="37" s="1"/>
  <c r="C10" i="37"/>
  <c r="C13" i="37" s="1"/>
  <c r="C15" i="23" l="1"/>
  <c r="C15" i="22" l="1"/>
  <c r="C15" i="15"/>
  <c r="C12" i="29"/>
  <c r="G36" i="36" l="1"/>
  <c r="G36" i="30"/>
  <c r="G6" i="30" l="1"/>
  <c r="E13" i="39" l="1"/>
  <c r="C13" i="39"/>
  <c r="C23" i="2" s="1"/>
  <c r="C25" i="2" s="1"/>
  <c r="G10" i="30" l="1"/>
  <c r="G12" i="30" s="1"/>
  <c r="E13" i="37" l="1"/>
  <c r="E13" i="21" l="1"/>
  <c r="E14" i="21" s="1"/>
  <c r="C13" i="21"/>
  <c r="C14" i="21" s="1"/>
  <c r="C11" i="2" l="1"/>
  <c r="C12" i="2"/>
  <c r="C24" i="2" l="1"/>
  <c r="C26" i="2" l="1"/>
  <c r="C27" i="2" s="1"/>
  <c r="G6" i="36"/>
  <c r="G10" i="36" s="1"/>
  <c r="G12" i="36" l="1"/>
  <c r="G16" i="36" s="1"/>
  <c r="G16" i="30"/>
  <c r="G19" i="30" s="1"/>
  <c r="G19" i="36" l="1"/>
  <c r="G23" i="30"/>
  <c r="G25" i="30" s="1"/>
  <c r="G23" i="36" l="1"/>
  <c r="G25" i="36" s="1"/>
  <c r="G29" i="36" s="1"/>
  <c r="G29" i="30"/>
  <c r="G31" i="30" s="1"/>
  <c r="G31" i="36" l="1"/>
  <c r="G35" i="36" s="1"/>
  <c r="G35" i="30" l="1"/>
  <c r="G37" i="30" l="1"/>
  <c r="C9" i="2"/>
  <c r="C13" i="2"/>
  <c r="G42" i="30" l="1"/>
  <c r="G41" i="30"/>
  <c r="C21" i="2"/>
  <c r="G43" i="30" l="1"/>
  <c r="G47" i="30" l="1"/>
  <c r="G48" i="30" s="1"/>
  <c r="C10" i="2"/>
  <c r="G42" i="36" s="1"/>
  <c r="G37" i="36"/>
  <c r="G41" i="36" s="1"/>
  <c r="G52" i="30" l="1"/>
  <c r="C11" i="15" l="1"/>
  <c r="G53" i="30"/>
  <c r="G57" i="30" s="1"/>
  <c r="G58" i="30" s="1"/>
  <c r="E20" i="27"/>
  <c r="G43" i="36"/>
  <c r="C18" i="2" s="1"/>
  <c r="C8" i="2" l="1"/>
  <c r="C16" i="2" s="1"/>
  <c r="C19" i="2" s="1"/>
  <c r="C8" i="15" s="1"/>
  <c r="E33" i="27"/>
  <c r="C11" i="22"/>
  <c r="G47" i="36"/>
  <c r="G48" i="36" l="1"/>
  <c r="G52" i="36" s="1"/>
  <c r="G53" i="36" s="1"/>
  <c r="C9" i="15"/>
  <c r="C10" i="15" s="1"/>
  <c r="C32" i="2"/>
  <c r="C11" i="23"/>
  <c r="C12" i="15" l="1"/>
  <c r="C13" i="15" s="1"/>
  <c r="C20" i="15" s="1"/>
  <c r="G57" i="36"/>
  <c r="G58" i="36" s="1"/>
  <c r="C12" i="22" l="1"/>
  <c r="C8" i="22"/>
  <c r="C9" i="22" s="1"/>
  <c r="C10" i="22" s="1"/>
  <c r="C12" i="23"/>
  <c r="C13" i="22" l="1"/>
  <c r="C20" i="22" s="1"/>
  <c r="C8" i="23" l="1"/>
  <c r="C9" i="23" s="1"/>
  <c r="C10" i="23" s="1"/>
  <c r="C13" i="23" s="1"/>
  <c r="C20" i="23" s="1"/>
</calcChain>
</file>

<file path=xl/sharedStrings.xml><?xml version="1.0" encoding="utf-8"?>
<sst xmlns="http://schemas.openxmlformats.org/spreadsheetml/2006/main" count="507" uniqueCount="253">
  <si>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</si>
  <si>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</si>
  <si>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</si>
  <si>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</si>
  <si>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</si>
  <si>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</si>
  <si>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</si>
  <si>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</si>
  <si>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</si>
  <si>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</si>
  <si>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</si>
  <si>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</si>
  <si>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</si>
  <si>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</si>
  <si>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</si>
  <si>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</si>
  <si>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</si>
  <si>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</si>
  <si>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</si>
  <si>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</si>
  <si>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</si>
  <si>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</si>
  <si>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Videreførte omkostninger fra den økonomiske ramme for 2021</t>
  </si>
  <si>
    <t>Generelt effektiviseringskrav - Drift</t>
  </si>
  <si>
    <t>Generelt effektiviseringskrav - Anlæg</t>
  </si>
  <si>
    <t>Bortfald eller nedsættelse af omkostninger - Anlæg</t>
  </si>
  <si>
    <t>Bortfald eller nedsættelse af omkostninger - Drift</t>
  </si>
  <si>
    <t>Økonomisk ramme for 2022</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</si>
  <si>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</si>
  <si>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</si>
  <si>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</si>
  <si>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</si>
  <si>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</si>
  <si>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</si>
  <si>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</si>
  <si>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</si>
  <si>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</si>
  <si>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</si>
  <si>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</si>
  <si>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</si>
  <si>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</si>
  <si>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</si>
  <si>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</si>
  <si>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</si>
  <si>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</si>
  <si>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</si>
  <si>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</si>
  <si>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</si>
  <si>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</si>
  <si>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</si>
  <si>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</si>
  <si>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</si>
  <si>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</si>
  <si>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</si>
  <si>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</si>
  <si>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</si>
  <si>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</si>
  <si>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</si>
  <si>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</si>
  <si>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</si>
  <si>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</si>
  <si>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</si>
  <si>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</si>
  <si>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</si>
  <si>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</si>
  <si>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</si>
  <si>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</si>
  <si>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</si>
  <si>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</si>
  <si>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</si>
  <si>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</si>
  <si>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</si>
  <si>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</si>
  <si>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</si>
  <si>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</si>
  <si>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</si>
  <si>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</si>
  <si>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</si>
  <si>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</si>
  <si>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</si>
  <si>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</si>
  <si>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</si>
  <si>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</si>
  <si>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</si>
  <si>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Økonomisk ramme for 2023</t>
  </si>
  <si>
    <t>Bortfald eller nedsættelse fra og med de økonomiske rammer for 2023</t>
  </si>
  <si>
    <t>Generelt effektiviseringskrav på drift</t>
  </si>
  <si>
    <t>Generelt effektiviseringskrav på anlæg</t>
  </si>
  <si>
    <t>Engangstillæg til de økonomiske rammer for 2023</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</si>
  <si>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</si>
  <si>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</si>
  <si>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</si>
  <si>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</si>
  <si>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</si>
  <si>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</si>
  <si>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</si>
  <si>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</si>
  <si>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</si>
  <si>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</si>
  <si>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</si>
  <si>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</si>
  <si>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</si>
  <si>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</si>
  <si>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</si>
  <si>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</si>
  <si>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</si>
  <si>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</si>
  <si>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</si>
  <si>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</si>
  <si>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</si>
  <si>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</si>
  <si>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</si>
  <si>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</si>
  <si>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</si>
  <si>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</si>
  <si>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</si>
  <si>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</si>
  <si>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</si>
  <si>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</si>
  <si>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Engangstillæg i alt i 2023-prisniveau</t>
  </si>
  <si>
    <t>Generelt effektiviseringskrav til brug for nye anlægsomkostninger i ØR2021</t>
  </si>
  <si>
    <t>Nye driftsomkostninger til de økonomiske rammer for 2021</t>
  </si>
  <si>
    <t>Base for driftsomkostninger til de vejledende økonomiske rammer for 2024</t>
  </si>
  <si>
    <t>Nye anlægsomkostninger til de økonomiske rammer for 2021</t>
  </si>
  <si>
    <t>Base for anlægsomkostninger til de vejledende økonomiske rammer for 2024</t>
  </si>
  <si>
    <t>Vejledende generelt effektiviseringskrav til anlægsomkostningerne i ØR24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</si>
  <si>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</si>
  <si>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</si>
  <si>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</si>
  <si>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</si>
  <si>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</si>
  <si>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</si>
  <si>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</si>
  <si>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</si>
  <si>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</si>
  <si>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</si>
  <si>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</si>
  <si>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Vejledende økonomisk ramme for 2025</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</si>
  <si>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</si>
  <si>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</si>
  <si>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</si>
  <si>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</si>
  <si>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</si>
  <si>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</si>
  <si>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</si>
  <si>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</si>
  <si>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</si>
  <si>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</si>
  <si>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Nye tillæg i alt i 2021-prisniveau</t>
  </si>
  <si>
    <t>Tilknyttet virksomhed under hovedvirksomheden i alt (2021-prisniveau)</t>
  </si>
  <si>
    <t>Prisudvikling til brug for nye omkostninger i ØR2022</t>
  </si>
  <si>
    <t>Generelt effektiviseringskrav til brug for nye anlægsomkostninger i ØR2022</t>
  </si>
  <si>
    <t>Nye driftsomkostninger til de økonomiske rammer for 2022</t>
  </si>
  <si>
    <t xml:space="preserve">Indtægter fra tilbagebetalt skat eller sambeskatningsbidrag som følge af skattesagen </t>
  </si>
  <si>
    <t xml:space="preserve">Nedsættelse af økonomisk ramme som følge af skattesagen </t>
  </si>
  <si>
    <t>Tidligere opgjorte kontrol med overholdelse af økonomiske rammer</t>
  </si>
  <si>
    <t>Over/underdækning i 2019</t>
  </si>
  <si>
    <t>Allerede indregnet fradrag i jeres økonomiske rammer</t>
  </si>
  <si>
    <t xml:space="preserve">Note: Opgørelsen af indregnede fradrag er taget fra jeres tidligere fremsendte økonomiske rammer og statusmeddelelser. I kan derfor ikke komme med høringssvar til denne opgørelse. </t>
  </si>
  <si>
    <t>Korrektion af tidligere rammer</t>
  </si>
  <si>
    <t>Engangskorrektion vedrørende erstatninger</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</si>
  <si>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</si>
  <si>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</si>
  <si>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</si>
  <si>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</si>
  <si>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</si>
  <si>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</si>
  <si>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</si>
  <si>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</si>
  <si>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</si>
  <si>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</si>
  <si>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</si>
  <si>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</si>
  <si>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</si>
  <si>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</si>
  <si>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</si>
  <si>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</si>
  <si>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</si>
  <si>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</si>
  <si>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</si>
  <si>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</si>
  <si>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Faktiske ikke-påvirkelige omkostninger i 2021</t>
  </si>
  <si>
    <t>Ikke-påvirkelige omkostninger i 2021-prisniveau</t>
  </si>
  <si>
    <t>Ikke-påvirkelige omkostninger i 2023-prisniveau</t>
  </si>
  <si>
    <t>Fane 7: Kontrol med overholdelse af den økonomiske ramme for 2021</t>
  </si>
  <si>
    <t>Over/underdækning i 2020</t>
  </si>
  <si>
    <t>Kontrol med overholdelse af den økonomiske ramme for 2021</t>
  </si>
  <si>
    <t>Faktiske indtægter i 2021</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</si>
  <si>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</si>
  <si>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</si>
  <si>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</si>
  <si>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</si>
  <si>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</si>
  <si>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Anlægsprojekter igangsat senest den 1. marts 2016 i alt</t>
  </si>
  <si>
    <t>Til økonomiske rammer for 2023-2024</t>
  </si>
  <si>
    <t>Engangstillæg i alt i 2021-prisniveau</t>
  </si>
  <si>
    <t>Bortfald eller nedsættelse i alt i 2021-prisniveau</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</si>
  <si>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</si>
  <si>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</si>
  <si>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</si>
  <si>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</si>
  <si>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</si>
  <si>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Beregningen af jeres individuelle effektiviseringskrav fremgår af metodepapir samt bilag til benchmarkingmodellen 2023</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</si>
  <si>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</si>
  <si>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</si>
  <si>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</si>
  <si>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</si>
  <si>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</si>
  <si>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</si>
  <si>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</si>
  <si>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</si>
  <si>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</si>
  <si>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Omkostninger i 2021</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</si>
  <si>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</si>
  <si>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</si>
  <si>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</si>
  <si>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</si>
  <si>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</si>
  <si>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</si>
  <si>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</si>
  <si>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</si>
  <si>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</si>
  <si>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</si>
  <si>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</si>
  <si>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</si>
  <si>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</si>
  <si>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</si>
  <si>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</si>
  <si>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 økonomiske ramme i årene</t>
  </si>
  <si>
    <t>Samlet tilbagebetaling</t>
  </si>
  <si>
    <t>Ingen anlægsprojekter</t>
  </si>
  <si>
    <t>Afgift til Forsyningssekretariatet</t>
  </si>
  <si>
    <t>Køb af ydelser og produkter fra andre vandselskaber reguleret af vandsektorloven</t>
  </si>
  <si>
    <t>Selskabsskatter</t>
  </si>
  <si>
    <t>Korrigeret over/underdækning i 2019</t>
  </si>
  <si>
    <t>Indregnet fradrag i den økonomiske ramme for 2023</t>
  </si>
  <si>
    <t>Indregnet fradrag i den økonomiske ramme for 2024</t>
  </si>
  <si>
    <t>Den økonomiske ramme for 2021</t>
  </si>
  <si>
    <t>Til indregning i de økonomiske rammer for 2023-2024</t>
  </si>
  <si>
    <t>Ingen tilknyttet virksomhed under hovedvirksomheden</t>
  </si>
  <si>
    <t>Ingen bortfald eller nedsættelse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</si>
  <si>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</si>
  <si>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</si>
  <si>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</si>
  <si>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</si>
  <si>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</si>
  <si>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</si>
  <si>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</si>
  <si>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</si>
  <si>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</si>
  <si>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Resultat af kontrol med overholdelse af den økonomiske ramme for 2021</t>
  </si>
  <si>
    <t>Ingen engangstillæg</t>
  </si>
  <si>
    <t>Ændret køb af vand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</si>
</sst>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00_ ;_ * \-#,##0.00_ ;_ * &quot;-&quot;??_ ;_ @_ "/>
    <numFmt numFmtId="165" formatCode="_ * #,##0_ ;_ * \-#,##0_ ;_ * &quot;-&quot;??_ ;_ @_ "/>
    <numFmt numFmtId="166" formatCode="##,##0"/>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0"/>
      <color theme="1"/>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47">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3" fontId="8" fillId="8" borderId="1" xfId="0" quotePrefix="1" applyNumberFormat="1" applyFont="1" applyFill="1" applyBorder="1" applyProtection="1"/>
    <xf numFmtId="10" fontId="8" fillId="8" borderId="1" xfId="0" applyNumberFormat="1" applyFont="1" applyFill="1" applyBorder="1" applyProtection="1"/>
    <xf numFmtId="1" fontId="8" fillId="0" borderId="1" xfId="0" applyNumberFormat="1" applyFont="1" applyFill="1" applyBorder="1" applyProtection="1"/>
    <xf numFmtId="3" fontId="0" fillId="2" borderId="0" xfId="0" applyNumberFormat="1" applyFill="1" applyProtection="1"/>
    <xf numFmtId="3" fontId="14" fillId="4" borderId="1" xfId="0" applyNumberFormat="1" applyFont="1" applyFill="1" applyBorder="1" applyProtection="1"/>
    <xf numFmtId="0" fontId="8" fillId="4" borderId="2" xfId="0" applyFont="1" applyFill="1" applyBorder="1" applyAlignment="1" applyProtection="1"/>
    <xf numFmtId="0" fontId="14" fillId="4" borderId="1" xfId="0" applyFont="1" applyFill="1" applyBorder="1" applyAlignment="1" applyProtection="1">
      <alignment wrapText="1"/>
    </xf>
    <xf numFmtId="3" fontId="7" fillId="3" borderId="6" xfId="0" applyNumberFormat="1" applyFont="1" applyFill="1" applyBorder="1" applyAlignment="1" applyProtection="1"/>
    <xf numFmtId="1" fontId="8" fillId="8" borderId="1" xfId="1" applyNumberFormat="1" applyFont="1" applyFill="1" applyBorder="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3" fontId="8" fillId="4" borderId="2" xfId="0" applyNumberFormat="1" applyFont="1" applyFill="1" applyBorder="1" applyAlignment="1" applyProtection="1">
      <alignment horizontal="right"/>
    </xf>
    <xf numFmtId="166" fontId="8" fillId="8" borderId="1" xfId="1" applyNumberFormat="1" applyFont="1" applyFill="1" applyBorder="1" applyProtection="1"/>
    <xf numFmtId="166" fontId="7" fillId="3" borderId="6" xfId="1" applyNumberFormat="1" applyFont="1" applyFill="1" applyBorder="1" applyAlignment="1" applyProtection="1"/>
    <xf numFmtId="166" fontId="0" fillId="2" borderId="0" xfId="1" applyNumberFormat="1" applyFont="1" applyFill="1" applyProtection="1"/>
    <xf numFmtId="166" fontId="7" fillId="3" borderId="6" xfId="0" applyNumberFormat="1" applyFont="1" applyFill="1" applyBorder="1" applyAlignment="1" applyProtection="1"/>
    <xf numFmtId="166" fontId="0" fillId="2" borderId="0" xfId="0" applyNumberFormat="1" applyFill="1" applyProtection="1"/>
    <xf numFmtId="166" fontId="8" fillId="8" borderId="1" xfId="0" applyNumberFormat="1" applyFont="1" applyFill="1" applyBorder="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quotePrefix="1" applyFont="1" applyFill="1" applyBorder="1" applyAlignment="1" applyProtection="1">
      <alignment wrapText="1"/>
    </xf>
    <xf numFmtId="0" fontId="8" fillId="8" borderId="6" xfId="0" quotePrefix="1" applyFont="1" applyFill="1" applyBorder="1" applyAlignment="1" applyProtection="1">
      <alignment wrapText="1"/>
    </xf>
    <xf numFmtId="0" fontId="8" fillId="8" borderId="3" xfId="0" quotePrefix="1" applyFont="1" applyFill="1" applyBorder="1" applyAlignment="1" applyProtection="1">
      <alignment wrapText="1"/>
    </xf>
    <xf numFmtId="0" fontId="8" fillId="4" borderId="2" xfId="0" applyFont="1" applyFill="1" applyBorder="1" applyAlignment="1" applyProtection="1">
      <alignment wrapText="1"/>
    </xf>
    <xf numFmtId="0" fontId="8" fillId="4" borderId="6" xfId="0" applyFont="1" applyFill="1" applyBorder="1" applyAlignment="1" applyProtection="1">
      <alignment wrapText="1"/>
    </xf>
    <xf numFmtId="0" fontId="8" fillId="4" borderId="3" xfId="0" applyFont="1" applyFill="1" applyBorder="1" applyAlignment="1" applyProtection="1">
      <alignment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6" xfId="0" applyFont="1" applyFill="1" applyBorder="1" applyAlignment="1" applyProtection="1">
      <alignment wrapText="1"/>
    </xf>
    <xf numFmtId="0" fontId="8" fillId="8" borderId="3" xfId="0" applyFont="1" applyFill="1" applyBorder="1" applyAlignment="1" applyProtection="1">
      <alignment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14" fillId="4" borderId="2" xfId="0" applyFont="1" applyFill="1" applyBorder="1" applyAlignment="1" applyProtection="1"/>
    <xf numFmtId="0" fontId="14" fillId="4" borderId="6" xfId="0" applyFont="1" applyFill="1" applyBorder="1" applyAlignment="1" applyProtection="1"/>
    <xf numFmtId="0" fontId="14" fillId="4" borderId="3" xfId="0" applyFont="1" applyFill="1" applyBorder="1" applyAlignment="1" applyProtection="1"/>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166" fontId="7" fillId="3" borderId="6" xfId="0" applyNumberFormat="1"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0" fillId="2" borderId="0" xfId="0" applyFill="1" applyAlignment="1" applyProtection="1">
      <alignment horizontal="center" vertical="center"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0" borderId="2" xfId="0" applyFont="1" applyFill="1" applyBorder="1" applyAlignment="1" applyProtection="1">
      <alignment horizontal="left"/>
    </xf>
    <xf numFmtId="0" fontId="8" fillId="0" borderId="6" xfId="0" applyFont="1" applyFill="1" applyBorder="1" applyAlignment="1" applyProtection="1">
      <alignment horizontal="left"/>
    </xf>
    <xf numFmtId="0" fontId="8" fillId="0"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C5">
            <v>1.0168999999999999</v>
          </cell>
        </row>
      </sheetData>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49"/>
  <sheetViews>
    <sheetView showGridLines="0" tabSelected="1" view="pageLayout" zoomScaleNormal="100" workbookViewId="0"/>
  </sheetViews>
  <sheetFormatPr defaultColWidth="9" defaultRowHeight="15" x14ac:dyDescent="0.25"/>
  <cols>
    <col min="1" max="1" width="9" style="2"/>
    <col min="2" max="2" width="5.85546875" style="2" customWidth="1"/>
    <col min="3" max="4" width="9" style="2"/>
    <col min="5" max="5" width="11.7109375" style="2" customWidth="1"/>
    <col min="6" max="6" width="11.5703125" style="2" customWidth="1"/>
    <col min="7" max="8" width="9" style="2"/>
    <col min="9" max="9" width="12" style="2" customWidth="1"/>
    <col min="10" max="16384" width="9"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89" t="s">
        <v>4</v>
      </c>
      <c r="E6" s="89"/>
      <c r="F6" s="89"/>
      <c r="G6" s="89"/>
      <c r="H6" s="3"/>
      <c r="I6" s="1"/>
    </row>
    <row r="7" spans="1:9" ht="15" customHeight="1" x14ac:dyDescent="0.25">
      <c r="A7" s="1"/>
      <c r="B7" s="1"/>
      <c r="C7" s="3"/>
      <c r="D7" s="89"/>
      <c r="E7" s="89"/>
      <c r="F7" s="89"/>
      <c r="G7" s="89"/>
      <c r="H7" s="3"/>
      <c r="I7" s="1"/>
    </row>
    <row r="8" spans="1:9" ht="15.75" x14ac:dyDescent="0.25">
      <c r="A8" s="1"/>
      <c r="B8" s="1"/>
      <c r="C8" s="4"/>
      <c r="D8" s="91" t="s">
        <v>194</v>
      </c>
      <c r="E8" s="91"/>
      <c r="F8" s="91"/>
      <c r="G8" s="91"/>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90" t="s">
        <v>5</v>
      </c>
      <c r="E11" s="90"/>
      <c r="F11" s="90"/>
      <c r="G11" s="90"/>
      <c r="H11" s="5"/>
      <c r="I11" s="1"/>
    </row>
    <row r="12" spans="1:9" x14ac:dyDescent="0.25">
      <c r="A12" s="1"/>
      <c r="B12" s="1"/>
      <c r="C12" s="1"/>
      <c r="D12" s="1"/>
      <c r="E12" s="1"/>
      <c r="F12" s="1"/>
      <c r="G12" s="1"/>
      <c r="H12" s="1"/>
      <c r="I12" s="1"/>
    </row>
    <row r="13" spans="1:9" x14ac:dyDescent="0.25">
      <c r="A13" s="1"/>
      <c r="B13" s="1"/>
      <c r="C13" s="6" t="s">
        <v>6</v>
      </c>
      <c r="D13" s="86" t="s">
        <v>161</v>
      </c>
      <c r="E13" s="87"/>
      <c r="F13" s="87"/>
      <c r="G13" s="88"/>
      <c r="H13" s="1"/>
      <c r="I13" s="1"/>
    </row>
    <row r="14" spans="1:9" x14ac:dyDescent="0.25">
      <c r="A14" s="1"/>
      <c r="B14" s="1"/>
      <c r="C14" s="6" t="s">
        <v>14</v>
      </c>
      <c r="D14" s="86" t="s">
        <v>204</v>
      </c>
      <c r="E14" s="87"/>
      <c r="F14" s="87"/>
      <c r="G14" s="88"/>
      <c r="H14" s="1"/>
      <c r="I14" s="1"/>
    </row>
    <row r="15" spans="1:9" x14ac:dyDescent="0.25">
      <c r="A15" s="1"/>
      <c r="B15" s="1"/>
      <c r="C15" s="6" t="s">
        <v>32</v>
      </c>
      <c r="D15" s="86" t="s">
        <v>137</v>
      </c>
      <c r="E15" s="87"/>
      <c r="F15" s="87"/>
      <c r="G15" s="88"/>
      <c r="H15" s="1"/>
      <c r="I15" s="1"/>
    </row>
    <row r="16" spans="1:9" x14ac:dyDescent="0.25">
      <c r="A16" s="1"/>
      <c r="B16" s="1"/>
      <c r="C16" s="6" t="s">
        <v>33</v>
      </c>
      <c r="D16" s="86" t="s">
        <v>162</v>
      </c>
      <c r="E16" s="87"/>
      <c r="F16" s="87"/>
      <c r="G16" s="88"/>
      <c r="H16" s="1"/>
      <c r="I16" s="1"/>
    </row>
    <row r="17" spans="1:9" x14ac:dyDescent="0.25">
      <c r="A17" s="1"/>
      <c r="B17" s="1"/>
      <c r="C17" s="6" t="s">
        <v>110</v>
      </c>
      <c r="D17" s="86" t="s">
        <v>163</v>
      </c>
      <c r="E17" s="87"/>
      <c r="F17" s="87"/>
      <c r="G17" s="88"/>
      <c r="H17" s="1"/>
      <c r="I17" s="1"/>
    </row>
    <row r="18" spans="1:9" x14ac:dyDescent="0.25">
      <c r="A18" s="1"/>
      <c r="B18" s="1"/>
      <c r="C18" s="6" t="s">
        <v>94</v>
      </c>
      <c r="D18" s="92" t="s">
        <v>86</v>
      </c>
      <c r="E18" s="93"/>
      <c r="F18" s="93"/>
      <c r="G18" s="94"/>
      <c r="H18" s="1"/>
      <c r="I18" s="1"/>
    </row>
    <row r="19" spans="1:9" x14ac:dyDescent="0.25">
      <c r="A19" s="1"/>
      <c r="B19" s="1"/>
      <c r="C19" s="6" t="s">
        <v>95</v>
      </c>
      <c r="D19" s="92" t="s">
        <v>87</v>
      </c>
      <c r="E19" s="93"/>
      <c r="F19" s="93"/>
      <c r="G19" s="94"/>
      <c r="H19" s="1"/>
      <c r="I19" s="1"/>
    </row>
    <row r="20" spans="1:9" x14ac:dyDescent="0.25">
      <c r="A20" s="1"/>
      <c r="B20" s="1"/>
      <c r="C20" s="6" t="s">
        <v>7</v>
      </c>
      <c r="D20" s="92" t="s">
        <v>9</v>
      </c>
      <c r="E20" s="93"/>
      <c r="F20" s="93"/>
      <c r="G20" s="94"/>
      <c r="H20" s="1"/>
      <c r="I20" s="1"/>
    </row>
    <row r="21" spans="1:9" x14ac:dyDescent="0.25">
      <c r="A21" s="1"/>
      <c r="B21" s="1"/>
      <c r="C21" s="6" t="s">
        <v>96</v>
      </c>
      <c r="D21" s="83" t="s">
        <v>11</v>
      </c>
      <c r="E21" s="84"/>
      <c r="F21" s="84"/>
      <c r="G21" s="85"/>
      <c r="H21" s="1"/>
      <c r="I21" s="1"/>
    </row>
    <row r="22" spans="1:9" x14ac:dyDescent="0.25">
      <c r="A22" s="1"/>
      <c r="B22" s="1"/>
      <c r="C22" s="6" t="s">
        <v>78</v>
      </c>
      <c r="D22" s="77" t="s">
        <v>164</v>
      </c>
      <c r="E22" s="78"/>
      <c r="F22" s="78"/>
      <c r="G22" s="79"/>
      <c r="H22" s="1"/>
      <c r="I22" s="1"/>
    </row>
    <row r="23" spans="1:9" x14ac:dyDescent="0.25">
      <c r="A23" s="1"/>
      <c r="B23" s="1"/>
      <c r="C23" s="6" t="s">
        <v>8</v>
      </c>
      <c r="D23" s="77" t="s">
        <v>219</v>
      </c>
      <c r="E23" s="78"/>
      <c r="F23" s="78"/>
      <c r="G23" s="79"/>
      <c r="H23" s="1"/>
      <c r="I23" s="1"/>
    </row>
    <row r="24" spans="1:9" x14ac:dyDescent="0.25">
      <c r="A24" s="1"/>
      <c r="B24" s="1"/>
      <c r="C24" s="6" t="s">
        <v>215</v>
      </c>
      <c r="D24" s="77" t="s">
        <v>205</v>
      </c>
      <c r="E24" s="78"/>
      <c r="F24" s="78"/>
      <c r="G24" s="79"/>
      <c r="H24" s="1"/>
      <c r="I24" s="1"/>
    </row>
    <row r="25" spans="1:9" x14ac:dyDescent="0.25">
      <c r="A25" s="1"/>
      <c r="B25" s="1"/>
      <c r="C25" s="6" t="s">
        <v>216</v>
      </c>
      <c r="D25" s="77" t="s">
        <v>79</v>
      </c>
      <c r="E25" s="78"/>
      <c r="F25" s="78"/>
      <c r="G25" s="79"/>
      <c r="H25" s="1"/>
      <c r="I25" s="1"/>
    </row>
    <row r="26" spans="1:9" x14ac:dyDescent="0.25">
      <c r="A26" s="1"/>
      <c r="B26" s="1"/>
      <c r="C26" s="6" t="s">
        <v>217</v>
      </c>
      <c r="D26" s="77" t="s">
        <v>80</v>
      </c>
      <c r="E26" s="78"/>
      <c r="F26" s="78"/>
      <c r="G26" s="79"/>
      <c r="H26" s="1"/>
      <c r="I26" s="1"/>
    </row>
    <row r="27" spans="1:9" x14ac:dyDescent="0.25">
      <c r="A27" s="1"/>
      <c r="B27" s="1"/>
      <c r="C27" s="6" t="s">
        <v>97</v>
      </c>
      <c r="D27" s="77" t="s">
        <v>111</v>
      </c>
      <c r="E27" s="78"/>
      <c r="F27" s="78"/>
      <c r="G27" s="79"/>
      <c r="H27" s="1"/>
      <c r="I27" s="1"/>
    </row>
    <row r="28" spans="1:9" x14ac:dyDescent="0.25">
      <c r="A28" s="1"/>
      <c r="B28" s="1"/>
      <c r="C28" s="6" t="s">
        <v>91</v>
      </c>
      <c r="D28" s="77" t="s">
        <v>34</v>
      </c>
      <c r="E28" s="78"/>
      <c r="F28" s="78"/>
      <c r="G28" s="79"/>
      <c r="H28" s="1"/>
      <c r="I28" s="1"/>
    </row>
    <row r="29" spans="1:9" x14ac:dyDescent="0.25">
      <c r="A29" s="1"/>
      <c r="B29" s="1"/>
      <c r="C29" s="6" t="s">
        <v>218</v>
      </c>
      <c r="D29" s="80" t="s">
        <v>92</v>
      </c>
      <c r="E29" s="81"/>
      <c r="F29" s="81"/>
      <c r="G29" s="82"/>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sheetData>
  <sheetProtection algorithmName="SHA-512" hashValue="5x0UfQ2uLgjBNwu3bJ99YNfFXH0X5+pdYDYHAEZjsktRCBodZloZ4J78drmjdZvGrU2m9tS35drfhvFWvyiz9g==" saltValue="yVelpXsj4EAbaaR/xPESRg==" spinCount="100000" sheet="1" objects="1" scenarios="1"/>
  <mergeCells count="20">
    <mergeCell ref="D14:G14"/>
    <mergeCell ref="D6:G7"/>
    <mergeCell ref="D22:G22"/>
    <mergeCell ref="D11:G11"/>
    <mergeCell ref="D8:G8"/>
    <mergeCell ref="D15:G15"/>
    <mergeCell ref="D16:G16"/>
    <mergeCell ref="D13:G13"/>
    <mergeCell ref="D17:G17"/>
    <mergeCell ref="D18:G18"/>
    <mergeCell ref="D19:G19"/>
    <mergeCell ref="D20:G20"/>
    <mergeCell ref="D28:G28"/>
    <mergeCell ref="D29:G29"/>
    <mergeCell ref="D21:G21"/>
    <mergeCell ref="D24:G24"/>
    <mergeCell ref="D25:G25"/>
    <mergeCell ref="D27:G27"/>
    <mergeCell ref="D26:G26"/>
    <mergeCell ref="D23:G23"/>
  </mergeCells>
  <hyperlinks>
    <hyperlink ref="D14:G14" location="'Fane 2.2. Økonomisk ramme 2024'!A1" display="Vejledende økonomisk ramme for 2024"/>
    <hyperlink ref="D25:G25" location="'Fane 10.1. Varige tillæg'!A1" display="Varige tillæg"/>
    <hyperlink ref="D27:G27" location="'Fane 11. Tilknyttet virksomhed'!A1" display="Tilknyttet virksomhed"/>
    <hyperlink ref="D28:G28" location="'Fane 12.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1:G21" location="'Fane 6. Ikke-påvirkelige omk.'!A1" display="Ikke-påvirkelige omkostninger"/>
    <hyperlink ref="D22:G22" location="'Fane 7. Kontrol af ØR2021'!A1" display="Kontrol af den økonomiske ramme for 2021"/>
    <hyperlink ref="D24:G24" location="'Fane 9. Anlægsprojekter (§ 19) '!A1" display="Anlægsprojekter (§ 19) "/>
    <hyperlink ref="D29:G29" location="'Fane 13. Nøgletal'!A1" display="Nøgletal"/>
    <hyperlink ref="D17:G17" location="'Fane 3. Omkostninger i ØR2022'!A1" display="Omkostninger i ØR2022"/>
    <hyperlink ref="D26:G26" location="'Fane 10.2. Engangstillæg'!A1" display="Engangstillæg"/>
    <hyperlink ref="D19:G19" location="'Fane 4.2. Gen. krav - anlæg'!A1" display="Generelt effektiviseringskrav på anlæg"/>
    <hyperlink ref="D18:G18" location="'Fane 4.1. Gen. krav - drift'!A1" display="Generelt effektiviseringskrav på drift"/>
    <hyperlink ref="D20:G20" location="'Fane 5. Individuelt eff. krav'!A1" display="Individuelt effektiviseringskrav"/>
    <hyperlink ref="D23:G23" location="'Fane 8. Skattesagen'!A1" display="Skattesagen"/>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0"/>
  <sheetViews>
    <sheetView showGridLines="0" view="pageLayout" zoomScaleNormal="100" workbookViewId="0"/>
  </sheetViews>
  <sheetFormatPr defaultColWidth="9" defaultRowHeight="15" x14ac:dyDescent="0.25"/>
  <cols>
    <col min="1" max="1" width="8"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 style="2"/>
  </cols>
  <sheetData>
    <row r="1" spans="1:6" x14ac:dyDescent="0.25">
      <c r="A1" s="1"/>
      <c r="B1" s="1"/>
      <c r="C1" s="1"/>
      <c r="D1" s="1"/>
      <c r="E1" s="1"/>
      <c r="F1" s="1"/>
    </row>
    <row r="2" spans="1:6" x14ac:dyDescent="0.25">
      <c r="A2" s="1"/>
      <c r="B2" s="1"/>
      <c r="C2" s="1"/>
      <c r="D2" s="1"/>
      <c r="E2" s="1"/>
      <c r="F2" s="1"/>
    </row>
    <row r="3" spans="1:6" ht="15" customHeight="1" x14ac:dyDescent="0.25">
      <c r="A3" s="1"/>
      <c r="B3" s="95" t="s">
        <v>100</v>
      </c>
      <c r="C3" s="95"/>
      <c r="D3" s="95"/>
      <c r="E3" s="1"/>
      <c r="F3" s="1"/>
    </row>
    <row r="4" spans="1:6" ht="15" customHeight="1" x14ac:dyDescent="0.25">
      <c r="A4" s="1"/>
      <c r="B4" s="95"/>
      <c r="C4" s="95"/>
      <c r="D4" s="95"/>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8" t="s">
        <v>181</v>
      </c>
      <c r="C8" s="119"/>
      <c r="D8" s="120"/>
      <c r="E8" s="1"/>
      <c r="F8" s="1"/>
    </row>
    <row r="9" spans="1:6" ht="15" customHeight="1" x14ac:dyDescent="0.25">
      <c r="A9" s="1"/>
      <c r="B9" s="31" t="s">
        <v>30</v>
      </c>
      <c r="C9" s="11" t="s">
        <v>212</v>
      </c>
      <c r="D9" s="11"/>
      <c r="E9" s="1"/>
      <c r="F9" s="1"/>
    </row>
    <row r="10" spans="1:6" x14ac:dyDescent="0.25">
      <c r="A10" s="1"/>
      <c r="B10" s="74" t="s">
        <v>231</v>
      </c>
      <c r="C10" s="9">
        <v>87466</v>
      </c>
      <c r="D10" s="14" t="s">
        <v>3</v>
      </c>
      <c r="E10" s="1"/>
      <c r="F10" s="1"/>
    </row>
    <row r="11" spans="1:6" ht="26.25" x14ac:dyDescent="0.25">
      <c r="A11" s="1"/>
      <c r="B11" s="63" t="s">
        <v>232</v>
      </c>
      <c r="C11" s="9">
        <v>1809603</v>
      </c>
      <c r="D11" s="14" t="s">
        <v>3</v>
      </c>
      <c r="E11" s="1"/>
      <c r="F11" s="1"/>
    </row>
    <row r="12" spans="1:6" x14ac:dyDescent="0.25">
      <c r="A12" s="1"/>
      <c r="B12" s="74" t="s">
        <v>233</v>
      </c>
      <c r="C12" s="9">
        <v>1692</v>
      </c>
      <c r="D12" s="14" t="s">
        <v>3</v>
      </c>
      <c r="E12" s="1"/>
      <c r="F12" s="1"/>
    </row>
    <row r="13" spans="1:6" x14ac:dyDescent="0.25">
      <c r="A13" s="1"/>
      <c r="B13" s="66" t="s">
        <v>182</v>
      </c>
      <c r="C13" s="12">
        <f>SUM(C10:C12)</f>
        <v>1898761</v>
      </c>
      <c r="D13" s="13" t="s">
        <v>3</v>
      </c>
      <c r="E13" s="1"/>
      <c r="F13" s="1"/>
    </row>
    <row r="14" spans="1:6" x14ac:dyDescent="0.25">
      <c r="A14" s="1"/>
      <c r="B14" s="66" t="s">
        <v>183</v>
      </c>
      <c r="C14" s="12">
        <f>C13*(1+'Fane 13. Nøgletal'!C15)^2</f>
        <v>2036359.1969409601</v>
      </c>
      <c r="D14" s="13" t="s">
        <v>3</v>
      </c>
      <c r="E14" s="1"/>
      <c r="F14" s="1"/>
    </row>
    <row r="15" spans="1:6" x14ac:dyDescent="0.25">
      <c r="A15" s="1"/>
      <c r="B15" s="16"/>
      <c r="C15" s="15"/>
      <c r="D15" s="15"/>
      <c r="E15" s="1"/>
      <c r="F15" s="1"/>
    </row>
    <row r="16" spans="1:6" x14ac:dyDescent="0.25">
      <c r="A16" s="1"/>
      <c r="B16" s="16"/>
      <c r="C16" s="15"/>
      <c r="D16" s="15"/>
      <c r="E16" s="1"/>
      <c r="F16" s="1"/>
    </row>
    <row r="17" spans="1:6" x14ac:dyDescent="0.25">
      <c r="A17" s="1"/>
      <c r="B17" s="1"/>
      <c r="C17" s="1"/>
      <c r="D17" s="1"/>
      <c r="E17" s="1"/>
      <c r="F17" s="1"/>
    </row>
    <row r="18" spans="1:6" x14ac:dyDescent="0.25">
      <c r="A18" s="1"/>
      <c r="B18" s="1"/>
      <c r="C18" s="1"/>
      <c r="D18" s="1"/>
      <c r="E18" s="1"/>
      <c r="F18" s="1"/>
    </row>
    <row r="19" spans="1:6" x14ac:dyDescent="0.25">
      <c r="A19" s="1"/>
      <c r="B19" s="1"/>
      <c r="C19" s="1"/>
      <c r="D19" s="1"/>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ebzacgqmq2e00aYvP7bdemx7y7FoUHvMQEWNdbOnTCRSx9j6Sx5ympojg6klVmapwz7orXyJhSol0EktTMRIPg==" saltValue="WPbHDKUReWCBlainkmMR+Q=="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42"/>
  <sheetViews>
    <sheetView showGridLines="0" view="pageLayout" zoomScaleNormal="100" workbookViewId="0"/>
  </sheetViews>
  <sheetFormatPr defaultColWidth="9" defaultRowHeight="15" x14ac:dyDescent="0.25"/>
  <cols>
    <col min="1" max="1" width="3.5703125" style="2" customWidth="1"/>
    <col min="2" max="3" width="9" style="2"/>
    <col min="4" max="4" width="47.7109375" style="2" customWidth="1"/>
    <col min="5" max="5" width="10.7109375" style="2" customWidth="1"/>
    <col min="6" max="6" width="3.28515625" style="2" customWidth="1"/>
    <col min="7" max="7" width="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03" t="s">
        <v>184</v>
      </c>
      <c r="C3" s="103"/>
      <c r="D3" s="103"/>
      <c r="E3" s="103"/>
      <c r="F3" s="103"/>
      <c r="G3" s="1"/>
    </row>
    <row r="4" spans="1:7" ht="15" customHeight="1" x14ac:dyDescent="0.25">
      <c r="A4" s="1"/>
      <c r="B4" s="103"/>
      <c r="C4" s="103"/>
      <c r="D4" s="103"/>
      <c r="E4" s="103"/>
      <c r="F4" s="103"/>
      <c r="G4" s="1"/>
    </row>
    <row r="5" spans="1:7" ht="15" customHeight="1" x14ac:dyDescent="0.25">
      <c r="A5" s="1"/>
      <c r="B5" s="62"/>
      <c r="C5" s="62"/>
      <c r="D5" s="62"/>
      <c r="E5" s="62"/>
      <c r="F5" s="62"/>
      <c r="G5" s="1"/>
    </row>
    <row r="6" spans="1:7" ht="15" customHeight="1" x14ac:dyDescent="0.25">
      <c r="A6" s="1"/>
      <c r="B6" s="62"/>
      <c r="C6" s="62"/>
      <c r="D6" s="62"/>
      <c r="E6" s="62"/>
      <c r="F6" s="62"/>
      <c r="G6" s="1"/>
    </row>
    <row r="7" spans="1:7" x14ac:dyDescent="0.25">
      <c r="A7" s="1"/>
      <c r="B7" s="1"/>
      <c r="C7" s="1"/>
      <c r="D7" s="1"/>
      <c r="E7" s="1"/>
      <c r="F7" s="1"/>
      <c r="G7" s="1"/>
    </row>
    <row r="8" spans="1:7" x14ac:dyDescent="0.25">
      <c r="A8" s="1"/>
      <c r="B8" s="118" t="s">
        <v>155</v>
      </c>
      <c r="C8" s="119"/>
      <c r="D8" s="119"/>
      <c r="E8" s="119"/>
      <c r="F8" s="120"/>
      <c r="G8" s="1"/>
    </row>
    <row r="9" spans="1:7" x14ac:dyDescent="0.25">
      <c r="A9" s="1"/>
      <c r="B9" s="121" t="s">
        <v>156</v>
      </c>
      <c r="C9" s="122"/>
      <c r="D9" s="123"/>
      <c r="E9" s="9">
        <v>-968266</v>
      </c>
      <c r="F9" s="14" t="s">
        <v>3</v>
      </c>
      <c r="G9" s="1"/>
    </row>
    <row r="10" spans="1:7" x14ac:dyDescent="0.25">
      <c r="A10" s="1"/>
      <c r="B10" s="136" t="s">
        <v>234</v>
      </c>
      <c r="C10" s="137"/>
      <c r="D10" s="138"/>
      <c r="E10" s="9">
        <v>-968266</v>
      </c>
      <c r="F10" s="49" t="s">
        <v>3</v>
      </c>
      <c r="G10" s="1"/>
    </row>
    <row r="11" spans="1:7" x14ac:dyDescent="0.25">
      <c r="A11" s="1"/>
      <c r="B11" s="121" t="s">
        <v>185</v>
      </c>
      <c r="C11" s="122"/>
      <c r="D11" s="123"/>
      <c r="E11" s="9">
        <v>-416533.15034073964</v>
      </c>
      <c r="F11" s="14" t="s">
        <v>3</v>
      </c>
      <c r="G11" s="1"/>
    </row>
    <row r="12" spans="1:7" x14ac:dyDescent="0.25">
      <c r="A12" s="1"/>
      <c r="B12" s="66"/>
      <c r="C12" s="67"/>
      <c r="D12" s="67"/>
      <c r="E12" s="67"/>
      <c r="F12" s="19"/>
      <c r="G12" s="1"/>
    </row>
    <row r="13" spans="1:7" ht="64.900000000000006" customHeight="1" x14ac:dyDescent="0.25">
      <c r="A13" s="1"/>
      <c r="B13" s="107" t="s">
        <v>249</v>
      </c>
      <c r="C13" s="108"/>
      <c r="D13" s="108"/>
      <c r="E13" s="108"/>
      <c r="F13" s="109"/>
      <c r="G13" s="1"/>
    </row>
    <row r="14" spans="1:7" ht="27" customHeight="1" x14ac:dyDescent="0.25">
      <c r="A14" s="1"/>
      <c r="B14" s="1"/>
      <c r="C14" s="1"/>
      <c r="D14" s="1"/>
      <c r="E14" s="1"/>
      <c r="F14" s="1"/>
      <c r="G14" s="1"/>
    </row>
    <row r="15" spans="1:7" ht="28.5" customHeight="1" x14ac:dyDescent="0.25">
      <c r="A15" s="1"/>
      <c r="B15" s="118" t="s">
        <v>157</v>
      </c>
      <c r="C15" s="119"/>
      <c r="D15" s="119"/>
      <c r="E15" s="119"/>
      <c r="F15" s="120"/>
      <c r="G15" s="1"/>
    </row>
    <row r="16" spans="1:7" x14ac:dyDescent="0.25">
      <c r="A16" s="1"/>
      <c r="B16" s="121" t="s">
        <v>235</v>
      </c>
      <c r="C16" s="122"/>
      <c r="D16" s="123"/>
      <c r="E16" s="9">
        <f>-104133.287585185*2</f>
        <v>-208266.57517036999</v>
      </c>
      <c r="F16" s="14" t="s">
        <v>3</v>
      </c>
      <c r="G16" s="1"/>
    </row>
    <row r="17" spans="1:7" x14ac:dyDescent="0.25">
      <c r="A17" s="1"/>
      <c r="B17" s="121" t="s">
        <v>236</v>
      </c>
      <c r="C17" s="122"/>
      <c r="D17" s="123"/>
      <c r="E17" s="9">
        <f>-104133.287585185*2</f>
        <v>-208266.57517036999</v>
      </c>
      <c r="F17" s="14" t="s">
        <v>3</v>
      </c>
      <c r="G17" s="1"/>
    </row>
    <row r="18" spans="1:7" x14ac:dyDescent="0.25">
      <c r="A18" s="1"/>
      <c r="B18" s="66"/>
      <c r="C18" s="67"/>
      <c r="D18" s="67"/>
      <c r="E18" s="67"/>
      <c r="F18" s="19"/>
      <c r="G18" s="1"/>
    </row>
    <row r="19" spans="1:7" ht="31.5" customHeight="1" x14ac:dyDescent="0.25">
      <c r="A19" s="1"/>
      <c r="B19" s="107" t="s">
        <v>158</v>
      </c>
      <c r="C19" s="108"/>
      <c r="D19" s="108"/>
      <c r="E19" s="108"/>
      <c r="F19" s="109"/>
      <c r="G19" s="1"/>
    </row>
    <row r="20" spans="1:7" ht="28.5" customHeight="1" x14ac:dyDescent="0.25">
      <c r="A20" s="1"/>
      <c r="B20" s="1"/>
      <c r="C20" s="1"/>
      <c r="D20" s="1"/>
      <c r="E20" s="1"/>
      <c r="F20" s="1"/>
      <c r="G20" s="1"/>
    </row>
    <row r="21" spans="1:7" ht="28.5" customHeight="1" x14ac:dyDescent="0.25">
      <c r="A21" s="1"/>
      <c r="B21" s="68" t="s">
        <v>186</v>
      </c>
      <c r="C21" s="69"/>
      <c r="D21" s="69"/>
      <c r="E21" s="69"/>
      <c r="F21" s="70"/>
      <c r="G21" s="1"/>
    </row>
    <row r="22" spans="1:7" x14ac:dyDescent="0.25">
      <c r="A22" s="1"/>
      <c r="B22" s="71" t="s">
        <v>237</v>
      </c>
      <c r="C22" s="72"/>
      <c r="D22" s="73"/>
      <c r="E22" s="9">
        <v>7686531.3115255442</v>
      </c>
      <c r="F22" s="14" t="s">
        <v>3</v>
      </c>
      <c r="G22" s="1"/>
    </row>
    <row r="23" spans="1:7" x14ac:dyDescent="0.25">
      <c r="A23" s="1"/>
      <c r="B23" s="71" t="s">
        <v>187</v>
      </c>
      <c r="C23" s="72"/>
      <c r="D23" s="73"/>
      <c r="E23" s="9">
        <v>7623483</v>
      </c>
      <c r="F23" s="14" t="s">
        <v>3</v>
      </c>
      <c r="G23" s="1"/>
    </row>
    <row r="24" spans="1:7" x14ac:dyDescent="0.25">
      <c r="A24" s="1"/>
      <c r="B24" s="71" t="s">
        <v>31</v>
      </c>
      <c r="C24" s="72"/>
      <c r="D24" s="73"/>
      <c r="E24" s="9">
        <v>0</v>
      </c>
      <c r="F24" s="14" t="s">
        <v>3</v>
      </c>
      <c r="G24" s="1"/>
    </row>
    <row r="25" spans="1:7" x14ac:dyDescent="0.25">
      <c r="A25" s="1"/>
      <c r="B25" s="46" t="s">
        <v>250</v>
      </c>
      <c r="C25" s="47"/>
      <c r="D25" s="48"/>
      <c r="E25" s="52">
        <f>E22-(E23-E24)</f>
        <v>63048.311525544152</v>
      </c>
      <c r="F25" s="17" t="s">
        <v>3</v>
      </c>
      <c r="G25" s="1"/>
    </row>
    <row r="26" spans="1:7" x14ac:dyDescent="0.25">
      <c r="A26" s="1"/>
      <c r="B26" s="66"/>
      <c r="C26" s="67"/>
      <c r="D26" s="67"/>
      <c r="E26" s="67"/>
      <c r="F26" s="19"/>
      <c r="G26" s="1"/>
    </row>
    <row r="27" spans="1:7" x14ac:dyDescent="0.25">
      <c r="A27" s="1"/>
      <c r="B27" s="1"/>
      <c r="C27" s="1"/>
      <c r="D27" s="1"/>
      <c r="E27" s="1"/>
      <c r="F27" s="1"/>
      <c r="G27" s="1"/>
    </row>
    <row r="28" spans="1:7" ht="28.5" customHeight="1" x14ac:dyDescent="0.25">
      <c r="A28" s="1"/>
      <c r="B28" s="118" t="s">
        <v>238</v>
      </c>
      <c r="C28" s="119"/>
      <c r="D28" s="119"/>
      <c r="E28" s="119"/>
      <c r="F28" s="120"/>
      <c r="G28" s="1"/>
    </row>
    <row r="29" spans="1:7" x14ac:dyDescent="0.25">
      <c r="A29" s="1"/>
      <c r="B29" s="139" t="s">
        <v>128</v>
      </c>
      <c r="C29" s="140"/>
      <c r="D29" s="141"/>
      <c r="E29" s="9">
        <f>IF(AND(E11&gt;0,E25&gt;0),0,IF(AND(E11&lt;0,E25&lt;0),E16+E17+E25,IF(AND(E11&lt;0,E25&gt;0),E16+E17,IF(AND(E9&gt;0,E11&gt;0,E25&lt;0,ABS(E11)&gt;ABS(E25)),0,IF(AND(E9&gt;0,E11&gt;0,E25&lt;0,ABS(E11)&lt;ABS(E25)),(ABS(E11)-ABS(E25)),IF(AND(E9&lt;0,E11&gt;0,E25&lt;0,ABS(E10)&gt;ABS(E11)),E25,IF(AND(E9&lt;0,E11&gt;0,E25&lt;0,ABS(E10)&lt;ABS(E11),ABS(SUM(E10,E11))&gt;ABS(E25)),0,IF(AND(E9&lt;0,E11&gt;0,E25&lt;0,ABS(E10)&lt;ABS(E11),ABS(SUM(E10,E11))&lt;ABS(E25)),(ABS(SUM(E10,E11))-ABS(E25)),"fejl"))))))))</f>
        <v>-416533.15034073999</v>
      </c>
      <c r="F29" s="14" t="s">
        <v>3</v>
      </c>
      <c r="G29" s="1"/>
    </row>
    <row r="30" spans="1:7" x14ac:dyDescent="0.25">
      <c r="A30" s="1"/>
      <c r="B30" s="139" t="s">
        <v>93</v>
      </c>
      <c r="C30" s="140"/>
      <c r="D30" s="141"/>
      <c r="E30" s="9">
        <v>2</v>
      </c>
      <c r="F30" s="14" t="s">
        <v>18</v>
      </c>
      <c r="G30" s="1"/>
    </row>
    <row r="31" spans="1:7" x14ac:dyDescent="0.25">
      <c r="A31" s="1"/>
      <c r="B31" s="132" t="s">
        <v>127</v>
      </c>
      <c r="C31" s="132"/>
      <c r="D31" s="132"/>
      <c r="E31" s="10">
        <f>E29/E30</f>
        <v>-208266.57517036999</v>
      </c>
      <c r="F31" s="17" t="s">
        <v>3</v>
      </c>
      <c r="G31" s="1"/>
    </row>
    <row r="32" spans="1:7" x14ac:dyDescent="0.25">
      <c r="A32" s="1"/>
      <c r="B32" s="133"/>
      <c r="C32" s="134"/>
      <c r="D32" s="134"/>
      <c r="E32" s="134"/>
      <c r="F32" s="135"/>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B38" s="50"/>
      <c r="C38" s="50"/>
      <c r="D38" s="50"/>
      <c r="E38" s="50"/>
      <c r="F38" s="50"/>
    </row>
    <row r="39" spans="1:7" x14ac:dyDescent="0.25">
      <c r="A39" s="50"/>
      <c r="B39" s="50"/>
      <c r="C39" s="50"/>
      <c r="D39" s="50"/>
      <c r="E39" s="50"/>
      <c r="F39" s="50"/>
      <c r="G39" s="50"/>
    </row>
    <row r="40" spans="1:7" x14ac:dyDescent="0.25">
      <c r="A40" s="50"/>
      <c r="B40" s="50"/>
      <c r="C40" s="50"/>
      <c r="D40" s="50"/>
      <c r="E40" s="50"/>
      <c r="F40" s="50"/>
      <c r="G40" s="50"/>
    </row>
    <row r="41" spans="1:7" x14ac:dyDescent="0.25">
      <c r="A41" s="50"/>
      <c r="B41" s="50"/>
      <c r="C41" s="50"/>
      <c r="D41" s="50"/>
      <c r="E41" s="50"/>
      <c r="F41" s="50"/>
      <c r="G41" s="50"/>
    </row>
    <row r="42" spans="1:7" x14ac:dyDescent="0.25">
      <c r="A42" s="50"/>
      <c r="B42" s="50"/>
      <c r="C42" s="50"/>
      <c r="D42" s="50"/>
      <c r="E42" s="50"/>
      <c r="F42" s="50"/>
      <c r="G42" s="50"/>
    </row>
  </sheetData>
  <sheetProtection algorithmName="SHA-512" hashValue="KOLxuFpquLaOZ7ZVn0W4JW7UUNxjMN+cYcBQ78MaFt7rzgXX9igo1VO458AGXL//1N77AyHdL6UbhjqZMcO0DA==" saltValue="5VJKkLwF7CJca73LxquYEg==" spinCount="100000" sheet="1" objects="1" scenarios="1"/>
  <mergeCells count="15">
    <mergeCell ref="B31:D31"/>
    <mergeCell ref="B32:F32"/>
    <mergeCell ref="B8:F8"/>
    <mergeCell ref="B10:D10"/>
    <mergeCell ref="B11:D11"/>
    <mergeCell ref="B30:D30"/>
    <mergeCell ref="B19:F19"/>
    <mergeCell ref="B28:F28"/>
    <mergeCell ref="B29:D29"/>
    <mergeCell ref="B3:F4"/>
    <mergeCell ref="B17:D17"/>
    <mergeCell ref="B9:D9"/>
    <mergeCell ref="B13:F13"/>
    <mergeCell ref="B15:F15"/>
    <mergeCell ref="B16:D16"/>
  </mergeCells>
  <pageMargins left="0.70866141732283461" right="0.70866141732283461"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42"/>
  <sheetViews>
    <sheetView view="pageLayout" zoomScaleNormal="100" workbookViewId="0"/>
  </sheetViews>
  <sheetFormatPr defaultColWidth="9" defaultRowHeight="15" x14ac:dyDescent="0.25"/>
  <cols>
    <col min="1" max="1" width="4.7109375" style="35" customWidth="1"/>
    <col min="2" max="2" width="22.5703125" style="35" customWidth="1"/>
    <col min="3" max="3" width="8.28515625" style="35" customWidth="1"/>
    <col min="4" max="6" width="10.7109375" style="35" customWidth="1"/>
    <col min="7" max="7" width="11" style="35" customWidth="1"/>
    <col min="8" max="8" width="3.28515625" style="35" customWidth="1"/>
    <col min="9" max="9" width="4.85546875" style="35" customWidth="1"/>
    <col min="10" max="16384" width="9" style="35"/>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5" t="s">
        <v>226</v>
      </c>
      <c r="C3" s="95"/>
      <c r="D3" s="95"/>
      <c r="E3" s="95"/>
      <c r="F3" s="95"/>
      <c r="G3" s="95"/>
      <c r="H3" s="95"/>
      <c r="I3" s="1"/>
    </row>
    <row r="4" spans="1:9" ht="15" customHeight="1" x14ac:dyDescent="0.25">
      <c r="A4" s="1"/>
      <c r="B4" s="95"/>
      <c r="C4" s="95"/>
      <c r="D4" s="95"/>
      <c r="E4" s="95"/>
      <c r="F4" s="95"/>
      <c r="G4" s="95"/>
      <c r="H4" s="95"/>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8" t="s">
        <v>227</v>
      </c>
      <c r="C8" s="119"/>
      <c r="D8" s="119"/>
      <c r="E8" s="119"/>
      <c r="F8" s="119"/>
      <c r="G8" s="119"/>
      <c r="H8" s="120"/>
      <c r="I8" s="1"/>
    </row>
    <row r="9" spans="1:9" ht="15" customHeight="1" x14ac:dyDescent="0.25">
      <c r="A9" s="1"/>
      <c r="B9" s="113" t="s">
        <v>228</v>
      </c>
      <c r="C9" s="114"/>
      <c r="D9" s="114"/>
      <c r="E9" s="114"/>
      <c r="F9" s="114"/>
      <c r="G9" s="114"/>
      <c r="H9" s="115"/>
      <c r="I9" s="1"/>
    </row>
    <row r="10" spans="1:9" x14ac:dyDescent="0.25">
      <c r="A10" s="1"/>
      <c r="B10" s="142" t="s">
        <v>241</v>
      </c>
      <c r="C10" s="143"/>
      <c r="D10" s="143"/>
      <c r="E10" s="143"/>
      <c r="F10" s="144"/>
      <c r="G10" s="51">
        <v>0</v>
      </c>
      <c r="H10" s="9" t="s">
        <v>3</v>
      </c>
      <c r="I10" s="1"/>
    </row>
    <row r="11" spans="1:9" x14ac:dyDescent="0.25">
      <c r="A11" s="1"/>
      <c r="B11" s="142" t="s">
        <v>242</v>
      </c>
      <c r="C11" s="143"/>
      <c r="D11" s="143"/>
      <c r="E11" s="143"/>
      <c r="F11" s="144"/>
      <c r="G11" s="51">
        <v>0</v>
      </c>
      <c r="H11" s="9" t="s">
        <v>3</v>
      </c>
      <c r="I11" s="1"/>
    </row>
    <row r="12" spans="1:9" x14ac:dyDescent="0.25">
      <c r="A12" s="1"/>
      <c r="B12" s="142" t="s">
        <v>243</v>
      </c>
      <c r="C12" s="143"/>
      <c r="D12" s="143"/>
      <c r="E12" s="143"/>
      <c r="F12" s="144"/>
      <c r="G12" s="9">
        <v>0</v>
      </c>
      <c r="H12" s="9" t="s">
        <v>3</v>
      </c>
      <c r="I12" s="1"/>
    </row>
    <row r="13" spans="1:9" x14ac:dyDescent="0.25">
      <c r="A13" s="1"/>
      <c r="B13" s="142" t="s">
        <v>244</v>
      </c>
      <c r="C13" s="143"/>
      <c r="D13" s="143"/>
      <c r="E13" s="143"/>
      <c r="F13" s="144"/>
      <c r="G13" s="9">
        <v>0</v>
      </c>
      <c r="H13" s="9" t="s">
        <v>3</v>
      </c>
      <c r="I13" s="1"/>
    </row>
    <row r="14" spans="1:9" x14ac:dyDescent="0.25">
      <c r="A14" s="1"/>
      <c r="B14" s="142" t="s">
        <v>245</v>
      </c>
      <c r="C14" s="143"/>
      <c r="D14" s="143"/>
      <c r="E14" s="143"/>
      <c r="F14" s="144"/>
      <c r="G14" s="9">
        <v>0</v>
      </c>
      <c r="H14" s="9" t="s">
        <v>3</v>
      </c>
      <c r="I14" s="1"/>
    </row>
    <row r="15" spans="1:9" x14ac:dyDescent="0.25">
      <c r="A15" s="1"/>
      <c r="B15" s="142" t="s">
        <v>246</v>
      </c>
      <c r="C15" s="143"/>
      <c r="D15" s="143"/>
      <c r="E15" s="143"/>
      <c r="F15" s="144"/>
      <c r="G15" s="9">
        <v>0</v>
      </c>
      <c r="H15" s="9" t="s">
        <v>3</v>
      </c>
      <c r="I15" s="1"/>
    </row>
    <row r="16" spans="1:9" x14ac:dyDescent="0.25">
      <c r="A16" s="1"/>
      <c r="B16" s="142" t="s">
        <v>247</v>
      </c>
      <c r="C16" s="143"/>
      <c r="D16" s="143"/>
      <c r="E16" s="143"/>
      <c r="F16" s="144"/>
      <c r="G16" s="9">
        <v>0</v>
      </c>
      <c r="H16" s="9" t="s">
        <v>3</v>
      </c>
      <c r="I16" s="1"/>
    </row>
    <row r="17" spans="1:9" x14ac:dyDescent="0.25">
      <c r="A17" s="1"/>
      <c r="B17" s="142" t="s">
        <v>248</v>
      </c>
      <c r="C17" s="143"/>
      <c r="D17" s="143"/>
      <c r="E17" s="143"/>
      <c r="F17" s="144"/>
      <c r="G17" s="9">
        <v>0</v>
      </c>
      <c r="H17" s="9" t="s">
        <v>3</v>
      </c>
      <c r="I17" s="1"/>
    </row>
    <row r="18" spans="1:9" x14ac:dyDescent="0.25">
      <c r="A18" s="1"/>
      <c r="B18" s="118" t="s">
        <v>229</v>
      </c>
      <c r="C18" s="119"/>
      <c r="D18" s="119"/>
      <c r="E18" s="119"/>
      <c r="F18" s="120"/>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sheetData>
  <sheetProtection algorithmName="SHA-512" hashValue="V2HSn4g6QKlxx9riAhyRt7UKD7Vl8+iHmxdNXJPc9FVLV9SYk8fKbhpaQszY17/epcgn6+RxpRFgWh4CwcskOw==" saltValue="kYqd3YsEnPLAHCVMNIGIEQ==" spinCount="100000" sheet="1" objects="1" scenarios="1"/>
  <mergeCells count="12">
    <mergeCell ref="B17:F17"/>
    <mergeCell ref="B18:F18"/>
    <mergeCell ref="B12:F12"/>
    <mergeCell ref="B13:F13"/>
    <mergeCell ref="B14:F14"/>
    <mergeCell ref="B15:F15"/>
    <mergeCell ref="B16:F16"/>
    <mergeCell ref="B11:F11"/>
    <mergeCell ref="B3:H4"/>
    <mergeCell ref="B8:H8"/>
    <mergeCell ref="B9:H9"/>
    <mergeCell ref="B10:F10"/>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 defaultRowHeight="15" x14ac:dyDescent="0.25"/>
  <cols>
    <col min="1" max="1" width="3.85546875" style="2" customWidth="1"/>
    <col min="2" max="2" width="23.85546875" style="2" customWidth="1"/>
    <col min="3" max="3" width="7.28515625" style="2" customWidth="1"/>
    <col min="4" max="4" width="8.5703125" style="2" customWidth="1"/>
    <col min="5" max="5" width="2.7109375" style="2" customWidth="1"/>
    <col min="6" max="6" width="8.5703125" style="2" customWidth="1"/>
    <col min="7" max="7" width="2.7109375" style="2" customWidth="1"/>
    <col min="8" max="8" width="8.5703125" style="2" customWidth="1"/>
    <col min="9" max="9" width="2.7109375" style="2" customWidth="1"/>
    <col min="10" max="10" width="8.5703125" style="2" customWidth="1"/>
    <col min="11" max="11" width="3" style="2" customWidth="1"/>
    <col min="12" max="12" width="3.85546875" style="2" customWidth="1"/>
    <col min="13" max="16384" width="9"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5" t="s">
        <v>220</v>
      </c>
      <c r="C3" s="95"/>
      <c r="D3" s="95"/>
      <c r="E3" s="95"/>
      <c r="F3" s="95"/>
      <c r="G3" s="95"/>
      <c r="H3" s="95"/>
      <c r="I3" s="95"/>
      <c r="J3" s="95"/>
      <c r="K3" s="95"/>
      <c r="L3" s="1"/>
    </row>
    <row r="4" spans="1:12" ht="15" customHeight="1" x14ac:dyDescent="0.25">
      <c r="A4" s="1"/>
      <c r="B4" s="95"/>
      <c r="C4" s="95"/>
      <c r="D4" s="95"/>
      <c r="E4" s="95"/>
      <c r="F4" s="95"/>
      <c r="G4" s="95"/>
      <c r="H4" s="95"/>
      <c r="I4" s="95"/>
      <c r="J4" s="95"/>
      <c r="K4" s="95"/>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8" t="s">
        <v>192</v>
      </c>
      <c r="C8" s="119"/>
      <c r="D8" s="119"/>
      <c r="E8" s="119"/>
      <c r="F8" s="119"/>
      <c r="G8" s="119"/>
      <c r="H8" s="119"/>
      <c r="I8" s="119"/>
      <c r="J8" s="119"/>
      <c r="K8" s="120"/>
      <c r="L8" s="1"/>
    </row>
    <row r="9" spans="1:12" ht="39.75" customHeight="1" x14ac:dyDescent="0.25">
      <c r="A9" s="1"/>
      <c r="B9" s="18" t="s">
        <v>0</v>
      </c>
      <c r="C9" s="18" t="s">
        <v>1</v>
      </c>
      <c r="D9" s="145" t="s">
        <v>213</v>
      </c>
      <c r="E9" s="146"/>
      <c r="F9" s="145" t="s">
        <v>2</v>
      </c>
      <c r="G9" s="146"/>
      <c r="H9" s="145" t="s">
        <v>214</v>
      </c>
      <c r="I9" s="146"/>
      <c r="J9" s="145" t="s">
        <v>28</v>
      </c>
      <c r="K9" s="146"/>
      <c r="L9" s="1"/>
    </row>
    <row r="10" spans="1:12" x14ac:dyDescent="0.25">
      <c r="A10" s="1"/>
      <c r="B10" s="76" t="s">
        <v>230</v>
      </c>
      <c r="C10" s="28">
        <v>0</v>
      </c>
      <c r="D10" s="9">
        <v>0</v>
      </c>
      <c r="E10" s="14" t="s">
        <v>3</v>
      </c>
      <c r="F10" s="34">
        <f>IFERROR(D10/C10,0)</f>
        <v>0</v>
      </c>
      <c r="G10" s="14" t="s">
        <v>3</v>
      </c>
      <c r="H10" s="9">
        <v>0</v>
      </c>
      <c r="I10" s="14" t="s">
        <v>3</v>
      </c>
      <c r="J10" s="9">
        <v>0</v>
      </c>
      <c r="K10" s="14" t="s">
        <v>3</v>
      </c>
      <c r="L10" s="1"/>
    </row>
    <row r="11" spans="1:12" x14ac:dyDescent="0.25">
      <c r="A11" s="1"/>
      <c r="B11" s="66" t="s">
        <v>193</v>
      </c>
      <c r="C11" s="67"/>
      <c r="D11" s="19"/>
      <c r="E11" s="70"/>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dLreACSchmpedj4SO46m5Bf8t5MSjpa37nI0tRkX9r/qeWQpwUEZvIDllo8NTUooLVE9ZjT1I+XJHZv4FV8iXg==" saltValue="c79Vn3x7uMADlYqWbdk+vQ=="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49"/>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5" t="s">
        <v>221</v>
      </c>
      <c r="C3" s="95"/>
      <c r="D3" s="95"/>
      <c r="E3" s="95"/>
      <c r="F3" s="95"/>
      <c r="G3" s="1"/>
    </row>
    <row r="4" spans="1:7" ht="15" customHeight="1" x14ac:dyDescent="0.25">
      <c r="A4" s="1"/>
      <c r="B4" s="95"/>
      <c r="C4" s="95"/>
      <c r="D4" s="95"/>
      <c r="E4" s="95"/>
      <c r="F4" s="9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6" t="s">
        <v>75</v>
      </c>
      <c r="C8" s="67"/>
      <c r="D8" s="67"/>
      <c r="E8" s="67"/>
      <c r="F8" s="19"/>
      <c r="G8" s="1"/>
    </row>
    <row r="9" spans="1:7" ht="17.25" customHeight="1" x14ac:dyDescent="0.25">
      <c r="A9" s="1"/>
      <c r="B9" s="64" t="s">
        <v>15</v>
      </c>
      <c r="C9" s="64" t="s">
        <v>10</v>
      </c>
      <c r="D9" s="65"/>
      <c r="E9" s="64" t="s">
        <v>29</v>
      </c>
      <c r="F9" s="61"/>
      <c r="G9" s="1"/>
    </row>
    <row r="10" spans="1:7" x14ac:dyDescent="0.25">
      <c r="A10" s="1"/>
      <c r="B10" s="22" t="s">
        <v>203</v>
      </c>
      <c r="C10" s="21">
        <f>'Fane 9. Anlægsprojekter (§ 19) '!H11</f>
        <v>0</v>
      </c>
      <c r="D10" s="14" t="s">
        <v>3</v>
      </c>
      <c r="E10" s="9">
        <f>'Fane 9. Anlægsprojekter (§ 19) '!F11+'Fane 9. Anlægsprojekter (§ 19) '!J11</f>
        <v>0</v>
      </c>
      <c r="F10" s="14" t="s">
        <v>3</v>
      </c>
      <c r="G10" s="1"/>
    </row>
    <row r="11" spans="1:7" x14ac:dyDescent="0.25">
      <c r="A11" s="1"/>
      <c r="B11" s="22" t="s">
        <v>252</v>
      </c>
      <c r="C11" s="21">
        <v>748701</v>
      </c>
      <c r="D11" s="14" t="s">
        <v>3</v>
      </c>
      <c r="E11" s="9">
        <v>0</v>
      </c>
      <c r="F11" s="14" t="s">
        <v>3</v>
      </c>
      <c r="G11" s="1"/>
    </row>
    <row r="12" spans="1:7" x14ac:dyDescent="0.25">
      <c r="A12" s="1"/>
      <c r="B12" s="66" t="s">
        <v>148</v>
      </c>
      <c r="C12" s="12">
        <f>SUM(C10:C11)</f>
        <v>748701</v>
      </c>
      <c r="D12" s="13" t="s">
        <v>3</v>
      </c>
      <c r="E12" s="12">
        <f>SUM(E10:E11)</f>
        <v>0</v>
      </c>
      <c r="F12" s="13" t="s">
        <v>3</v>
      </c>
      <c r="G12" s="1"/>
    </row>
    <row r="13" spans="1:7" x14ac:dyDescent="0.25">
      <c r="A13" s="1"/>
      <c r="B13" s="66" t="s">
        <v>188</v>
      </c>
      <c r="C13" s="12">
        <f>C12*(1+'Fane 13. Nøgletal'!C15)</f>
        <v>775354.75560000003</v>
      </c>
      <c r="D13" s="13" t="s">
        <v>3</v>
      </c>
      <c r="E13" s="12">
        <f>E12*(1+'Fane 13. Nøgletal'!C15)</f>
        <v>0</v>
      </c>
      <c r="F13" s="13" t="s">
        <v>3</v>
      </c>
      <c r="G13" s="1"/>
    </row>
    <row r="14" spans="1:7" x14ac:dyDescent="0.25">
      <c r="A14" s="1"/>
      <c r="B14" s="1"/>
      <c r="C14" s="1" t="s">
        <v>210</v>
      </c>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u4DHgAkDZglO9dDVMljn8HF7ftlqB7XjyTn+NjNdDHZ3qq0g0cea2gzz0syAU/PIX9csX8SFaRWbT/hjQpRGWA==" saltValue="UhsCpEaOpD8TXjQYlHstgg=="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7"/>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5" t="s">
        <v>222</v>
      </c>
      <c r="C3" s="95"/>
      <c r="D3" s="95"/>
      <c r="E3" s="95"/>
      <c r="F3" s="95"/>
      <c r="G3" s="1"/>
    </row>
    <row r="4" spans="1:7" ht="15" customHeight="1" x14ac:dyDescent="0.25">
      <c r="A4" s="1"/>
      <c r="B4" s="95"/>
      <c r="C4" s="95"/>
      <c r="D4" s="95"/>
      <c r="E4" s="95"/>
      <c r="F4" s="9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18" t="s">
        <v>88</v>
      </c>
      <c r="C9" s="119"/>
      <c r="D9" s="119"/>
      <c r="E9" s="119"/>
      <c r="F9" s="120"/>
      <c r="G9" s="1"/>
    </row>
    <row r="10" spans="1:7" ht="26.25" x14ac:dyDescent="0.25">
      <c r="A10" s="1"/>
      <c r="B10" s="64" t="s">
        <v>15</v>
      </c>
      <c r="C10" s="64" t="s">
        <v>10</v>
      </c>
      <c r="D10" s="65"/>
      <c r="E10" s="64" t="s">
        <v>29</v>
      </c>
      <c r="F10" s="61"/>
      <c r="G10" s="1"/>
    </row>
    <row r="11" spans="1:7" x14ac:dyDescent="0.25">
      <c r="A11" s="1"/>
      <c r="B11" s="22" t="s">
        <v>251</v>
      </c>
      <c r="C11" s="21">
        <v>0</v>
      </c>
      <c r="D11" s="14" t="s">
        <v>3</v>
      </c>
      <c r="E11" s="9">
        <v>0</v>
      </c>
      <c r="F11" s="14" t="s">
        <v>3</v>
      </c>
      <c r="G11" s="1"/>
    </row>
    <row r="12" spans="1:7" x14ac:dyDescent="0.25">
      <c r="A12" s="1"/>
      <c r="B12" s="66" t="s">
        <v>195</v>
      </c>
      <c r="C12" s="12">
        <f>SUM(C11:C11)</f>
        <v>0</v>
      </c>
      <c r="D12" s="13" t="s">
        <v>3</v>
      </c>
      <c r="E12" s="12">
        <f>SUM(E11:E11)</f>
        <v>0</v>
      </c>
      <c r="F12" s="13" t="s">
        <v>3</v>
      </c>
      <c r="G12" s="1"/>
    </row>
    <row r="13" spans="1:7" x14ac:dyDescent="0.25">
      <c r="A13" s="1"/>
      <c r="B13" s="66" t="s">
        <v>119</v>
      </c>
      <c r="C13" s="12">
        <f>C12*(1+'Fane 13. Nøgletal'!$C$15)^2</f>
        <v>0</v>
      </c>
      <c r="D13" s="13" t="s">
        <v>3</v>
      </c>
      <c r="E13" s="12">
        <f>E12*(1+'Fane 13. Nøgletal'!$C$15)^2</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ht="18" customHeight="1"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sheetData>
  <sheetProtection algorithmName="SHA-512" hashValue="ic9oCIJLz6wDhQaAkDAIdVA6HK82i6iisfO7y6N1TLOmfayN5Aj5NVELX78rvHnR7cmyJdm7ple5CSay7Z6l4g==" saltValue="xIh3WQ0HikDfyqUJ8CecgQ=="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 defaultRowHeight="15" x14ac:dyDescent="0.25"/>
  <cols>
    <col min="1" max="1" width="5.28515625" style="2" customWidth="1"/>
    <col min="2" max="2" width="41"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3" t="s">
        <v>223</v>
      </c>
      <c r="C3" s="103"/>
      <c r="D3" s="103"/>
      <c r="E3" s="103"/>
      <c r="F3" s="103"/>
      <c r="G3" s="1"/>
    </row>
    <row r="4" spans="1:7" ht="25.5" customHeight="1" x14ac:dyDescent="0.25">
      <c r="A4" s="1"/>
      <c r="B4" s="103"/>
      <c r="C4" s="103"/>
      <c r="D4" s="103"/>
      <c r="E4" s="103"/>
      <c r="F4" s="10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8" t="s">
        <v>112</v>
      </c>
      <c r="C8" s="119"/>
      <c r="D8" s="119"/>
      <c r="E8" s="119"/>
      <c r="F8" s="120"/>
      <c r="G8" s="1"/>
    </row>
    <row r="9" spans="1:7" ht="15" customHeight="1" x14ac:dyDescent="0.25">
      <c r="A9" s="1"/>
      <c r="B9" s="60" t="s">
        <v>113</v>
      </c>
      <c r="C9" s="113" t="s">
        <v>10</v>
      </c>
      <c r="D9" s="115"/>
      <c r="E9" s="113" t="s">
        <v>29</v>
      </c>
      <c r="F9" s="115"/>
      <c r="G9" s="1"/>
    </row>
    <row r="10" spans="1:7" x14ac:dyDescent="0.25">
      <c r="A10" s="1"/>
      <c r="B10" s="22" t="s">
        <v>239</v>
      </c>
      <c r="C10" s="9">
        <v>0</v>
      </c>
      <c r="D10" s="14" t="s">
        <v>3</v>
      </c>
      <c r="E10" s="9">
        <v>0</v>
      </c>
      <c r="F10" s="14" t="s">
        <v>3</v>
      </c>
      <c r="G10" s="1"/>
    </row>
    <row r="11" spans="1:7" ht="28.5" customHeight="1" x14ac:dyDescent="0.25">
      <c r="A11" s="1"/>
      <c r="B11" s="20" t="s">
        <v>149</v>
      </c>
      <c r="C11" s="12">
        <f>SUM(C10:C10)</f>
        <v>0</v>
      </c>
      <c r="D11" s="13" t="s">
        <v>3</v>
      </c>
      <c r="E11" s="12">
        <f>SUM(E10:E10)</f>
        <v>0</v>
      </c>
      <c r="F11" s="13" t="s">
        <v>3</v>
      </c>
      <c r="G11" s="1"/>
    </row>
    <row r="12" spans="1:7" ht="27" customHeight="1" x14ac:dyDescent="0.25">
      <c r="A12" s="1"/>
      <c r="B12" s="20" t="s">
        <v>189</v>
      </c>
      <c r="C12" s="12">
        <f>C11*(1+'Fane 13. Nøgletal'!C15)</f>
        <v>0</v>
      </c>
      <c r="D12" s="13" t="s">
        <v>3</v>
      </c>
      <c r="E12" s="12">
        <f>E11*(1+'Fane 13.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EYEXgEzTFKIgpcqKZB0+NaWSSgJXNsLTOCB6M3Xwv15ajAjW+d/AFNx6Qu5qY5u4O+Q575qZcDWuLV+tKDA4IQ==" saltValue="rmQIH4lBv7X+b742BisPeA=="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 defaultRowHeight="15" x14ac:dyDescent="0.25"/>
  <cols>
    <col min="1" max="1" width="5" style="2" customWidth="1"/>
    <col min="2" max="2" width="36.28515625" style="2" customWidth="1"/>
    <col min="3" max="3" width="17" style="2" customWidth="1"/>
    <col min="4" max="4" width="3.28515625" style="2" customWidth="1"/>
    <col min="5" max="5" width="17"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3" t="s">
        <v>224</v>
      </c>
      <c r="C3" s="103"/>
      <c r="D3" s="103"/>
      <c r="E3" s="103"/>
      <c r="F3" s="103"/>
      <c r="G3" s="1"/>
    </row>
    <row r="4" spans="1:7" ht="25.5" customHeight="1" x14ac:dyDescent="0.25">
      <c r="A4" s="1"/>
      <c r="B4" s="103"/>
      <c r="C4" s="103"/>
      <c r="D4" s="103"/>
      <c r="E4" s="103"/>
      <c r="F4" s="10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18" t="s">
        <v>85</v>
      </c>
      <c r="C10" s="119"/>
      <c r="D10" s="119"/>
      <c r="E10" s="119"/>
      <c r="F10" s="120"/>
      <c r="G10" s="1"/>
    </row>
    <row r="11" spans="1:7" ht="26.25" x14ac:dyDescent="0.25">
      <c r="A11" s="1"/>
      <c r="B11" s="60" t="s">
        <v>16</v>
      </c>
      <c r="C11" s="60" t="s">
        <v>10</v>
      </c>
      <c r="D11" s="61"/>
      <c r="E11" s="60" t="s">
        <v>29</v>
      </c>
      <c r="F11" s="61"/>
      <c r="G11" s="1"/>
    </row>
    <row r="12" spans="1:7" x14ac:dyDescent="0.25">
      <c r="A12" s="1"/>
      <c r="B12" s="22" t="s">
        <v>240</v>
      </c>
      <c r="C12" s="9">
        <v>0</v>
      </c>
      <c r="D12" s="14" t="s">
        <v>3</v>
      </c>
      <c r="E12" s="9">
        <v>0</v>
      </c>
      <c r="F12" s="14" t="s">
        <v>3</v>
      </c>
      <c r="G12" s="1"/>
    </row>
    <row r="13" spans="1:7" x14ac:dyDescent="0.25">
      <c r="A13" s="1"/>
      <c r="B13" s="66" t="s">
        <v>196</v>
      </c>
      <c r="C13" s="12">
        <f>SUM(C12:C12)</f>
        <v>0</v>
      </c>
      <c r="D13" s="13" t="s">
        <v>3</v>
      </c>
      <c r="E13" s="12">
        <f>SUM(E12:E12)</f>
        <v>0</v>
      </c>
      <c r="F13" s="13" t="s">
        <v>3</v>
      </c>
      <c r="G13" s="1"/>
    </row>
    <row r="14" spans="1:7" x14ac:dyDescent="0.25">
      <c r="A14" s="1"/>
      <c r="B14" s="66" t="s">
        <v>83</v>
      </c>
      <c r="C14" s="12">
        <f>C13*(1+'Fane 13. Nøgletal'!C15)</f>
        <v>0</v>
      </c>
      <c r="D14" s="13" t="s">
        <v>3</v>
      </c>
      <c r="E14" s="12">
        <f>E13*(1+'Fane 13. Nøgletal'!C15)</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Z6B0Hb8O6ebUU4BHA4HmsZyfM4gREM971klFS/wf3nYmyLmwnvo3kFuTfH5xvetcV6af45WZNcsZaH3kINWYAw==" saltValue="zM2tcer7rJAz80EhgBkHWA=="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48"/>
  <sheetViews>
    <sheetView showGridLines="0" view="pageLayout" zoomScaleNormal="100" workbookViewId="0"/>
  </sheetViews>
  <sheetFormatPr defaultColWidth="9" defaultRowHeight="15" x14ac:dyDescent="0.25"/>
  <cols>
    <col min="1" max="1" width="9" style="2" customWidth="1"/>
    <col min="2" max="2" width="56.28515625" style="2" customWidth="1"/>
    <col min="3" max="3" width="6.7109375" style="44" customWidth="1"/>
    <col min="4" max="4" width="9" style="2" customWidth="1"/>
    <col min="5" max="16384" width="9" style="2"/>
  </cols>
  <sheetData>
    <row r="1" spans="1:4" x14ac:dyDescent="0.25">
      <c r="A1" s="1"/>
      <c r="B1" s="1"/>
      <c r="C1" s="39"/>
      <c r="D1" s="1"/>
    </row>
    <row r="2" spans="1:4" x14ac:dyDescent="0.25">
      <c r="A2" s="1"/>
      <c r="B2" s="1"/>
      <c r="C2" s="39"/>
      <c r="D2" s="1"/>
    </row>
    <row r="3" spans="1:4" ht="15" customHeight="1" x14ac:dyDescent="0.25">
      <c r="A3" s="1"/>
      <c r="B3" s="103" t="s">
        <v>225</v>
      </c>
      <c r="C3" s="103"/>
      <c r="D3" s="1"/>
    </row>
    <row r="4" spans="1:4" ht="25.5" customHeight="1" x14ac:dyDescent="0.25">
      <c r="A4" s="1"/>
      <c r="B4" s="103"/>
      <c r="C4" s="103"/>
      <c r="D4" s="1"/>
    </row>
    <row r="5" spans="1:4" x14ac:dyDescent="0.25">
      <c r="A5" s="1"/>
      <c r="B5" s="1"/>
      <c r="C5" s="39"/>
      <c r="D5" s="1"/>
    </row>
    <row r="6" spans="1:4" x14ac:dyDescent="0.25">
      <c r="A6" s="1"/>
      <c r="B6" s="1"/>
      <c r="C6" s="39"/>
      <c r="D6" s="1"/>
    </row>
    <row r="7" spans="1:4" x14ac:dyDescent="0.25">
      <c r="A7" s="1"/>
      <c r="B7" s="1"/>
      <c r="C7" s="39"/>
      <c r="D7" s="1"/>
    </row>
    <row r="8" spans="1:4" x14ac:dyDescent="0.25">
      <c r="A8" s="1"/>
      <c r="B8" s="66" t="s">
        <v>13</v>
      </c>
      <c r="C8" s="40"/>
      <c r="D8" s="1"/>
    </row>
    <row r="9" spans="1:4" x14ac:dyDescent="0.25">
      <c r="A9" s="1"/>
      <c r="B9" s="74" t="s">
        <v>101</v>
      </c>
      <c r="C9" s="41">
        <v>1.2699999999999999E-2</v>
      </c>
      <c r="D9" s="1"/>
    </row>
    <row r="10" spans="1:4" x14ac:dyDescent="0.25">
      <c r="A10" s="1"/>
      <c r="B10" s="74" t="s">
        <v>21</v>
      </c>
      <c r="C10" s="41">
        <v>1.7500000000000002E-2</v>
      </c>
      <c r="D10" s="1"/>
    </row>
    <row r="11" spans="1:4" x14ac:dyDescent="0.25">
      <c r="A11" s="1"/>
      <c r="B11" s="74" t="s">
        <v>102</v>
      </c>
      <c r="C11" s="41">
        <v>1.6899999999999998E-2</v>
      </c>
      <c r="D11" s="1"/>
    </row>
    <row r="12" spans="1:4" x14ac:dyDescent="0.25">
      <c r="A12" s="1"/>
      <c r="B12" s="24" t="s">
        <v>37</v>
      </c>
      <c r="C12" s="42">
        <v>1.9699999999999999E-2</v>
      </c>
      <c r="D12" s="1"/>
    </row>
    <row r="13" spans="1:4" x14ac:dyDescent="0.25">
      <c r="A13" s="1"/>
      <c r="B13" s="24" t="s">
        <v>118</v>
      </c>
      <c r="C13" s="42">
        <v>1.2200000000000001E-2</v>
      </c>
      <c r="D13" s="1"/>
    </row>
    <row r="14" spans="1:4" x14ac:dyDescent="0.25">
      <c r="A14" s="1"/>
      <c r="B14" s="24" t="s">
        <v>150</v>
      </c>
      <c r="C14" s="43">
        <v>3.3E-3</v>
      </c>
      <c r="D14" s="1"/>
    </row>
    <row r="15" spans="1:4" x14ac:dyDescent="0.25">
      <c r="A15" s="1"/>
      <c r="B15" s="24" t="s">
        <v>190</v>
      </c>
      <c r="C15" s="43">
        <v>3.56E-2</v>
      </c>
      <c r="D15" s="1"/>
    </row>
    <row r="16" spans="1:4" x14ac:dyDescent="0.25">
      <c r="A16" s="1"/>
      <c r="B16" s="118"/>
      <c r="C16" s="120"/>
      <c r="D16" s="1"/>
    </row>
    <row r="17" spans="1:4" x14ac:dyDescent="0.25">
      <c r="A17" s="1"/>
      <c r="B17" s="1"/>
      <c r="C17" s="39"/>
      <c r="D17" s="1"/>
    </row>
    <row r="18" spans="1:4" x14ac:dyDescent="0.25">
      <c r="A18" s="1"/>
      <c r="B18" s="1"/>
      <c r="C18" s="39"/>
      <c r="D18" s="1"/>
    </row>
    <row r="19" spans="1:4" x14ac:dyDescent="0.25">
      <c r="A19" s="1"/>
      <c r="B19" s="66" t="s">
        <v>89</v>
      </c>
      <c r="C19" s="40"/>
      <c r="D19" s="1"/>
    </row>
    <row r="20" spans="1:4" x14ac:dyDescent="0.25">
      <c r="A20" s="1"/>
      <c r="B20" s="74" t="s">
        <v>103</v>
      </c>
      <c r="C20" s="43">
        <v>9.1000000000000004E-3</v>
      </c>
      <c r="D20" s="1"/>
    </row>
    <row r="21" spans="1:4" x14ac:dyDescent="0.25">
      <c r="A21" s="1"/>
      <c r="B21" s="74" t="s">
        <v>104</v>
      </c>
      <c r="C21" s="43">
        <v>1.77E-2</v>
      </c>
      <c r="D21" s="1"/>
    </row>
    <row r="22" spans="1:4" x14ac:dyDescent="0.25">
      <c r="A22" s="1"/>
      <c r="B22" s="74" t="s">
        <v>105</v>
      </c>
      <c r="C22" s="43">
        <v>8.6999999999999994E-3</v>
      </c>
      <c r="D22" s="1"/>
    </row>
    <row r="23" spans="1:4" x14ac:dyDescent="0.25">
      <c r="A23" s="1"/>
      <c r="B23" s="74" t="s">
        <v>106</v>
      </c>
      <c r="C23" s="43">
        <v>2.8399999999999998E-2</v>
      </c>
      <c r="D23" s="1"/>
    </row>
    <row r="24" spans="1:4" x14ac:dyDescent="0.25">
      <c r="A24" s="1"/>
      <c r="B24" s="74" t="s">
        <v>120</v>
      </c>
      <c r="C24" s="43">
        <v>2.75E-2</v>
      </c>
      <c r="D24" s="1"/>
    </row>
    <row r="25" spans="1:4" x14ac:dyDescent="0.25">
      <c r="A25" s="1"/>
      <c r="B25" s="74" t="s">
        <v>151</v>
      </c>
      <c r="C25" s="43">
        <v>1.4800000000000001E-2</v>
      </c>
      <c r="D25" s="1"/>
    </row>
    <row r="26" spans="1:4" x14ac:dyDescent="0.25">
      <c r="A26" s="1"/>
      <c r="B26" s="24" t="s">
        <v>191</v>
      </c>
      <c r="C26" s="43">
        <v>0</v>
      </c>
      <c r="D26" s="1"/>
    </row>
    <row r="27" spans="1:4" x14ac:dyDescent="0.25">
      <c r="A27" s="1"/>
      <c r="B27" s="66"/>
      <c r="C27" s="40"/>
      <c r="D27" s="1"/>
    </row>
    <row r="28" spans="1:4" x14ac:dyDescent="0.25">
      <c r="A28" s="1"/>
      <c r="B28" s="1"/>
      <c r="C28" s="39"/>
      <c r="D28" s="1"/>
    </row>
    <row r="29" spans="1:4" x14ac:dyDescent="0.25">
      <c r="A29" s="1"/>
      <c r="B29" s="1"/>
      <c r="C29" s="39"/>
      <c r="D29" s="1"/>
    </row>
    <row r="30" spans="1:4" x14ac:dyDescent="0.25">
      <c r="A30" s="1"/>
      <c r="B30" s="66" t="s">
        <v>90</v>
      </c>
      <c r="C30" s="40"/>
      <c r="D30" s="1"/>
    </row>
    <row r="31" spans="1:4" x14ac:dyDescent="0.25">
      <c r="A31" s="1"/>
      <c r="B31" s="74" t="s">
        <v>107</v>
      </c>
      <c r="C31" s="41">
        <v>0.02</v>
      </c>
      <c r="D31" s="1"/>
    </row>
    <row r="32" spans="1:4" x14ac:dyDescent="0.25">
      <c r="A32" s="1"/>
      <c r="B32" s="66"/>
      <c r="C32" s="40"/>
      <c r="D32" s="1"/>
    </row>
    <row r="33" spans="1:4" x14ac:dyDescent="0.25">
      <c r="A33" s="1"/>
      <c r="B33" s="1"/>
      <c r="C33" s="39"/>
      <c r="D33" s="1"/>
    </row>
    <row r="34" spans="1:4" x14ac:dyDescent="0.25">
      <c r="A34" s="1"/>
      <c r="B34" s="1"/>
      <c r="C34" s="39"/>
      <c r="D34" s="1"/>
    </row>
    <row r="35" spans="1:4" x14ac:dyDescent="0.25">
      <c r="A35" s="1"/>
      <c r="B35" s="1"/>
      <c r="C35" s="39"/>
      <c r="D35" s="1"/>
    </row>
    <row r="36" spans="1:4" x14ac:dyDescent="0.25">
      <c r="A36" s="1"/>
      <c r="B36" s="1"/>
      <c r="C36" s="39"/>
      <c r="D36" s="1"/>
    </row>
    <row r="37" spans="1:4" x14ac:dyDescent="0.25">
      <c r="A37" s="1"/>
      <c r="B37" s="1"/>
      <c r="C37" s="39"/>
      <c r="D37" s="1"/>
    </row>
    <row r="38" spans="1:4" x14ac:dyDescent="0.25">
      <c r="A38" s="1"/>
      <c r="B38" s="1"/>
      <c r="C38" s="39"/>
      <c r="D38" s="1"/>
    </row>
    <row r="39" spans="1:4" x14ac:dyDescent="0.25">
      <c r="A39" s="1"/>
      <c r="B39" s="1"/>
      <c r="C39" s="39"/>
      <c r="D39" s="1"/>
    </row>
    <row r="40" spans="1:4" x14ac:dyDescent="0.25">
      <c r="A40" s="1"/>
      <c r="B40" s="1"/>
      <c r="C40" s="39"/>
      <c r="D40" s="1"/>
    </row>
    <row r="41" spans="1:4" x14ac:dyDescent="0.25">
      <c r="A41" s="1"/>
      <c r="B41" s="1"/>
      <c r="C41" s="39"/>
      <c r="D41" s="1"/>
    </row>
    <row r="42" spans="1:4" x14ac:dyDescent="0.25">
      <c r="A42" s="1"/>
      <c r="B42" s="1"/>
      <c r="C42" s="39"/>
      <c r="D42" s="1"/>
    </row>
    <row r="43" spans="1:4" x14ac:dyDescent="0.25">
      <c r="A43" s="1"/>
      <c r="B43" s="1"/>
      <c r="C43" s="39"/>
      <c r="D43" s="1"/>
    </row>
    <row r="44" spans="1:4" x14ac:dyDescent="0.25">
      <c r="A44" s="1"/>
      <c r="B44" s="1"/>
      <c r="C44" s="39"/>
      <c r="D44" s="1"/>
    </row>
    <row r="45" spans="1:4" x14ac:dyDescent="0.25">
      <c r="A45" s="1"/>
      <c r="B45" s="1"/>
      <c r="C45" s="39"/>
      <c r="D45" s="1"/>
    </row>
    <row r="46" spans="1:4" x14ac:dyDescent="0.25">
      <c r="A46" s="1"/>
      <c r="B46" s="1"/>
      <c r="C46" s="39"/>
      <c r="D46" s="1"/>
    </row>
    <row r="47" spans="1:4" x14ac:dyDescent="0.25">
      <c r="A47" s="1"/>
      <c r="B47" s="1"/>
      <c r="C47" s="39"/>
      <c r="D47" s="1"/>
    </row>
    <row r="48" spans="1:4" x14ac:dyDescent="0.25">
      <c r="A48" s="1"/>
      <c r="B48" s="1"/>
      <c r="C48" s="39"/>
      <c r="D48" s="1"/>
    </row>
  </sheetData>
  <sheetProtection algorithmName="SHA-512" hashValue="SnpP1q31VFsj7z7tuUfh1o88FnHvgqPcD54OCAYrKaD79m1NiGX+k0jIIhjOVNn40qClyr44UENWkY+ehvBk6A==" saltValue="m0NJ7T5LRV7lIz2Sr+vKXQ==" spinCount="100000" sheet="1" objects="1" scenarios="1"/>
  <mergeCells count="2">
    <mergeCell ref="B3:C4"/>
    <mergeCell ref="B16:C16"/>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5"/>
  <sheetViews>
    <sheetView showGridLines="0" view="pageLayout" zoomScaleNormal="100" workbookViewId="0"/>
  </sheetViews>
  <sheetFormatPr defaultColWidth="9"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95" t="s">
        <v>165</v>
      </c>
      <c r="C3" s="95"/>
      <c r="D3" s="95"/>
      <c r="E3" s="1"/>
    </row>
    <row r="4" spans="1:5" ht="15" customHeight="1" x14ac:dyDescent="0.25">
      <c r="A4" s="1"/>
      <c r="B4" s="95"/>
      <c r="C4" s="95"/>
      <c r="D4" s="95"/>
      <c r="E4" s="1"/>
    </row>
    <row r="5" spans="1:5" x14ac:dyDescent="0.25">
      <c r="A5" s="1"/>
      <c r="B5" s="1"/>
      <c r="C5" s="1"/>
      <c r="D5" s="1"/>
      <c r="E5" s="1"/>
    </row>
    <row r="6" spans="1:5" x14ac:dyDescent="0.25">
      <c r="A6" s="1"/>
      <c r="B6" s="1"/>
      <c r="C6" s="1"/>
      <c r="D6" s="1"/>
      <c r="E6" s="1"/>
    </row>
    <row r="7" spans="1:5" x14ac:dyDescent="0.25">
      <c r="A7" s="1"/>
      <c r="B7" s="66" t="s">
        <v>12</v>
      </c>
      <c r="C7" s="67"/>
      <c r="D7" s="19"/>
      <c r="E7" s="1"/>
    </row>
    <row r="8" spans="1:5" x14ac:dyDescent="0.25">
      <c r="A8" s="1"/>
      <c r="B8" s="63" t="s">
        <v>116</v>
      </c>
      <c r="C8" s="7">
        <f>'Fane 3. Omkostninger i ØR2022'!E20</f>
        <v>4889811.2551277392</v>
      </c>
      <c r="D8" s="8" t="s">
        <v>3</v>
      </c>
      <c r="E8" s="1"/>
    </row>
    <row r="9" spans="1:5" ht="17.25" customHeight="1" x14ac:dyDescent="0.25">
      <c r="A9" s="1"/>
      <c r="B9" s="23" t="s">
        <v>35</v>
      </c>
      <c r="C9" s="7">
        <f>'Fane 10.1. Varige tillæg'!C13</f>
        <v>775354.75560000003</v>
      </c>
      <c r="D9" s="8" t="s">
        <v>3</v>
      </c>
      <c r="E9" s="1"/>
    </row>
    <row r="10" spans="1:5" ht="17.25" customHeight="1" x14ac:dyDescent="0.25">
      <c r="A10" s="1"/>
      <c r="B10" s="23" t="s">
        <v>36</v>
      </c>
      <c r="C10" s="9">
        <f>'Fane 10.1. Varige tillæg'!E13</f>
        <v>0</v>
      </c>
      <c r="D10" s="8" t="s">
        <v>3</v>
      </c>
      <c r="E10" s="1"/>
    </row>
    <row r="11" spans="1:5" ht="17.25" customHeight="1" x14ac:dyDescent="0.25">
      <c r="A11" s="1"/>
      <c r="B11" s="23" t="s">
        <v>26</v>
      </c>
      <c r="C11" s="9">
        <f>-'Fane 12. Bortfald'!C14</f>
        <v>0</v>
      </c>
      <c r="D11" s="8" t="s">
        <v>3</v>
      </c>
      <c r="E11" s="1"/>
    </row>
    <row r="12" spans="1:5" ht="17.25" customHeight="1" x14ac:dyDescent="0.25">
      <c r="A12" s="1"/>
      <c r="B12" s="23" t="s">
        <v>25</v>
      </c>
      <c r="C12" s="9">
        <f>-'Fane 12. Bortfald'!E14</f>
        <v>0</v>
      </c>
      <c r="D12" s="8" t="s">
        <v>3</v>
      </c>
      <c r="E12" s="1"/>
    </row>
    <row r="13" spans="1:5" ht="17.25" customHeight="1" x14ac:dyDescent="0.25">
      <c r="A13" s="1"/>
      <c r="B13" s="23" t="s">
        <v>114</v>
      </c>
      <c r="C13" s="9">
        <f>'Fane 11. Tilknyttet virksomhed'!C12</f>
        <v>0</v>
      </c>
      <c r="D13" s="8" t="s">
        <v>3</v>
      </c>
      <c r="E13" s="1"/>
    </row>
    <row r="14" spans="1:5" ht="17.25" customHeight="1" x14ac:dyDescent="0.25">
      <c r="A14" s="1"/>
      <c r="B14" s="23" t="s">
        <v>115</v>
      </c>
      <c r="C14" s="9">
        <f>'Fane 11. Tilknyttet virksomhed'!E12</f>
        <v>0</v>
      </c>
      <c r="D14" s="8" t="s">
        <v>3</v>
      </c>
      <c r="E14" s="1"/>
    </row>
    <row r="15" spans="1:5" ht="17.25" customHeight="1" x14ac:dyDescent="0.25">
      <c r="A15" s="1"/>
      <c r="B15" s="23" t="s">
        <v>17</v>
      </c>
      <c r="C15" s="9">
        <f>SUM(C8:C14)*'Fane 13. Nøgletal'!C15</f>
        <v>201679.90998190749</v>
      </c>
      <c r="D15" s="8" t="s">
        <v>3</v>
      </c>
      <c r="E15" s="1"/>
    </row>
    <row r="16" spans="1:5" ht="17.25" customHeight="1" x14ac:dyDescent="0.25">
      <c r="A16" s="1"/>
      <c r="B16" s="23" t="s">
        <v>9</v>
      </c>
      <c r="C16" s="9">
        <f>-SUM(C8,C9:C15)*'Fane 5. Individuelt eff. krav'!G9</f>
        <v>-29172.60373334448</v>
      </c>
      <c r="D16" s="8" t="s">
        <v>3</v>
      </c>
      <c r="E16" s="1"/>
    </row>
    <row r="17" spans="1:5" ht="17.25" customHeight="1" x14ac:dyDescent="0.25">
      <c r="A17" s="1"/>
      <c r="B17" s="23" t="s">
        <v>23</v>
      </c>
      <c r="C17" s="9">
        <f>-'Fane 4.1. Gen. krav - drift'!G43</f>
        <v>-77355.098285937187</v>
      </c>
      <c r="D17" s="8" t="s">
        <v>3</v>
      </c>
      <c r="E17" s="1"/>
    </row>
    <row r="18" spans="1:5" ht="17.25" customHeight="1" x14ac:dyDescent="0.25">
      <c r="A18" s="1"/>
      <c r="B18" s="23" t="s">
        <v>24</v>
      </c>
      <c r="C18" s="9">
        <f>-'Fane 4.2. Gen. krav - anlæg'!G43</f>
        <v>0</v>
      </c>
      <c r="D18" s="8" t="s">
        <v>3</v>
      </c>
      <c r="E18" s="1"/>
    </row>
    <row r="19" spans="1:5" ht="17.25" customHeight="1" x14ac:dyDescent="0.25">
      <c r="A19" s="1"/>
      <c r="B19" s="46" t="s">
        <v>19</v>
      </c>
      <c r="C19" s="10">
        <f>SUM(C8,C9:C18)</f>
        <v>5760318.2186903646</v>
      </c>
      <c r="D19" s="11" t="s">
        <v>3</v>
      </c>
      <c r="E19" s="1"/>
    </row>
    <row r="20" spans="1:5" ht="15" customHeight="1" x14ac:dyDescent="0.25">
      <c r="A20" s="1"/>
      <c r="B20" s="66" t="s">
        <v>11</v>
      </c>
      <c r="C20" s="67"/>
      <c r="D20" s="19"/>
      <c r="E20" s="1"/>
    </row>
    <row r="21" spans="1:5" ht="15" customHeight="1" x14ac:dyDescent="0.25">
      <c r="A21" s="1"/>
      <c r="B21" s="60" t="s">
        <v>11</v>
      </c>
      <c r="C21" s="10">
        <f>'Fane 6. Ikke-påvirkelige omk.'!C14</f>
        <v>2036359.1969409601</v>
      </c>
      <c r="D21" s="11" t="s">
        <v>3</v>
      </c>
      <c r="E21" s="1"/>
    </row>
    <row r="22" spans="1:5" ht="15" customHeight="1" x14ac:dyDescent="0.25">
      <c r="A22" s="1"/>
      <c r="B22" s="66" t="s">
        <v>80</v>
      </c>
      <c r="C22" s="67"/>
      <c r="D22" s="19"/>
      <c r="E22" s="1"/>
    </row>
    <row r="23" spans="1:5" ht="15" customHeight="1" x14ac:dyDescent="0.25">
      <c r="A23" s="1"/>
      <c r="B23" s="23" t="s">
        <v>76</v>
      </c>
      <c r="C23" s="9">
        <f>'Fane 10.2. Engangstillæg'!C13</f>
        <v>0</v>
      </c>
      <c r="D23" s="8" t="s">
        <v>3</v>
      </c>
      <c r="E23" s="1"/>
    </row>
    <row r="24" spans="1:5" ht="15" customHeight="1" x14ac:dyDescent="0.25">
      <c r="A24" s="1"/>
      <c r="B24" s="23" t="s">
        <v>77</v>
      </c>
      <c r="C24" s="9">
        <f>'Fane 10.2. Engangstillæg'!E13</f>
        <v>0</v>
      </c>
      <c r="D24" s="8" t="s">
        <v>3</v>
      </c>
      <c r="E24" s="1"/>
    </row>
    <row r="25" spans="1:5" ht="15" customHeight="1" x14ac:dyDescent="0.25">
      <c r="A25" s="1"/>
      <c r="B25" s="23" t="s">
        <v>206</v>
      </c>
      <c r="C25" s="9">
        <f>-C23*('Fane 13. Nøgletal'!C31+'Fane 5. Individuelt eff. krav'!G9)</f>
        <v>0</v>
      </c>
      <c r="D25" s="8" t="s">
        <v>3</v>
      </c>
      <c r="E25" s="1"/>
    </row>
    <row r="26" spans="1:5" ht="15" customHeight="1" x14ac:dyDescent="0.25">
      <c r="A26" s="1"/>
      <c r="B26" s="23" t="s">
        <v>207</v>
      </c>
      <c r="C26" s="9">
        <f>-C24*('Fane 13. Nøgletal'!C26+'Fane 5. Individuelt eff. krav'!G9)</f>
        <v>0</v>
      </c>
      <c r="D26" s="8" t="s">
        <v>3</v>
      </c>
      <c r="E26" s="1"/>
    </row>
    <row r="27" spans="1:5" x14ac:dyDescent="0.25">
      <c r="A27" s="1"/>
      <c r="B27" s="46" t="s">
        <v>81</v>
      </c>
      <c r="C27" s="45">
        <f>SUM(C23:C26)</f>
        <v>0</v>
      </c>
      <c r="D27" s="11" t="s">
        <v>3</v>
      </c>
      <c r="E27" s="1"/>
    </row>
    <row r="28" spans="1:5" ht="15" customHeight="1" x14ac:dyDescent="0.25">
      <c r="A28" s="1"/>
      <c r="B28" s="25" t="s">
        <v>128</v>
      </c>
      <c r="C28" s="67"/>
      <c r="D28" s="19"/>
      <c r="E28" s="1"/>
    </row>
    <row r="29" spans="1:5" x14ac:dyDescent="0.25">
      <c r="A29" s="1"/>
      <c r="B29" s="75" t="s">
        <v>129</v>
      </c>
      <c r="C29" s="10">
        <f>'Fane 7. Kontrol af ØR2021'!E31</f>
        <v>-208266.57517036999</v>
      </c>
      <c r="D29" s="11" t="s">
        <v>3</v>
      </c>
      <c r="E29" s="1"/>
    </row>
    <row r="30" spans="1:5" x14ac:dyDescent="0.25">
      <c r="A30" s="1"/>
      <c r="B30" s="25" t="s">
        <v>153</v>
      </c>
      <c r="C30" s="67"/>
      <c r="D30" s="19"/>
      <c r="E30" s="1"/>
    </row>
    <row r="31" spans="1:5" x14ac:dyDescent="0.25">
      <c r="A31" s="1"/>
      <c r="B31" s="75" t="s">
        <v>154</v>
      </c>
      <c r="C31" s="10">
        <f>'Fane 8. Skattesagen'!G12</f>
        <v>0</v>
      </c>
      <c r="D31" s="11" t="s">
        <v>3</v>
      </c>
      <c r="E31" s="1"/>
    </row>
    <row r="32" spans="1:5" x14ac:dyDescent="0.25">
      <c r="A32" s="1"/>
      <c r="B32" s="66" t="s">
        <v>84</v>
      </c>
      <c r="C32" s="33">
        <f>SUM(C19,C21,C27,C29,C31)</f>
        <v>7588410.8404609552</v>
      </c>
      <c r="D32" s="19" t="s">
        <v>3</v>
      </c>
      <c r="E32" s="1"/>
    </row>
    <row r="33" spans="1:5" x14ac:dyDescent="0.25">
      <c r="A33" s="1"/>
      <c r="B33" s="1" t="s">
        <v>210</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kPuGih2IKFSxnyAMiqot7T6A3w1KiqZmy5LMRnqMYa5Hv0cj/1g21dSRyV9FUEstg53kNi2RHG3MT1kyBBj9FQ==" saltValue="Q8pQTybfGuBIn+d9+JOROw=="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0"/>
  <sheetViews>
    <sheetView showGridLines="0" view="pageLayout" zoomScaleNormal="100" workbookViewId="0"/>
  </sheetViews>
  <sheetFormatPr defaultColWidth="9" defaultRowHeight="15" x14ac:dyDescent="0.25"/>
  <cols>
    <col min="1" max="1" width="5" style="2" customWidth="1"/>
    <col min="2" max="2" width="62.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95" t="s">
        <v>166</v>
      </c>
      <c r="C3" s="95"/>
      <c r="D3" s="95"/>
      <c r="E3" s="1"/>
    </row>
    <row r="4" spans="1:5" ht="15" customHeight="1" x14ac:dyDescent="0.25">
      <c r="A4" s="1"/>
      <c r="B4" s="95"/>
      <c r="C4" s="95"/>
      <c r="D4" s="95"/>
      <c r="E4" s="1"/>
    </row>
    <row r="5" spans="1:5" x14ac:dyDescent="0.25">
      <c r="A5" s="1"/>
      <c r="B5" s="96"/>
      <c r="C5" s="96"/>
      <c r="D5" s="96"/>
      <c r="E5" s="1"/>
    </row>
    <row r="6" spans="1:5" x14ac:dyDescent="0.25">
      <c r="A6" s="1"/>
      <c r="B6" s="1"/>
      <c r="C6" s="1"/>
      <c r="D6" s="1"/>
      <c r="E6" s="1"/>
    </row>
    <row r="7" spans="1:5" x14ac:dyDescent="0.25">
      <c r="A7" s="1"/>
      <c r="B7" s="66" t="s">
        <v>12</v>
      </c>
      <c r="C7" s="67"/>
      <c r="D7" s="19"/>
      <c r="E7" s="1"/>
    </row>
    <row r="8" spans="1:5" ht="15" customHeight="1" x14ac:dyDescent="0.25">
      <c r="A8" s="1"/>
      <c r="B8" s="63" t="s">
        <v>117</v>
      </c>
      <c r="C8" s="7">
        <f>'Fane 2.1. Økonomisk ramme 2023'!C19</f>
        <v>5760318.2186903646</v>
      </c>
      <c r="D8" s="8" t="s">
        <v>3</v>
      </c>
      <c r="E8" s="1"/>
    </row>
    <row r="9" spans="1:5" ht="15" customHeight="1" x14ac:dyDescent="0.25">
      <c r="A9" s="1"/>
      <c r="B9" s="59" t="s">
        <v>17</v>
      </c>
      <c r="C9" s="9">
        <f>SUM(C8:C8)*'Fane 13. Nøgletal'!C15</f>
        <v>205067.32858537699</v>
      </c>
      <c r="D9" s="8" t="s">
        <v>3</v>
      </c>
      <c r="E9" s="1"/>
    </row>
    <row r="10" spans="1:5" ht="15" customHeight="1" x14ac:dyDescent="0.25">
      <c r="A10" s="1"/>
      <c r="B10" s="59" t="s">
        <v>9</v>
      </c>
      <c r="C10" s="9">
        <f>-SUM(C8:C9)*'Fane 5. Individuelt eff. krav'!G9</f>
        <v>-29662.58719578672</v>
      </c>
      <c r="D10" s="8" t="s">
        <v>3</v>
      </c>
      <c r="E10" s="1"/>
    </row>
    <row r="11" spans="1:5" ht="15" customHeight="1" x14ac:dyDescent="0.25">
      <c r="A11" s="1"/>
      <c r="B11" s="59" t="s">
        <v>23</v>
      </c>
      <c r="C11" s="9">
        <f>-'Fane 4.1. Gen. krav - drift'!G48</f>
        <v>-78506.760989218223</v>
      </c>
      <c r="D11" s="8" t="s">
        <v>3</v>
      </c>
      <c r="E11" s="1"/>
    </row>
    <row r="12" spans="1:5" ht="15" customHeight="1" x14ac:dyDescent="0.25">
      <c r="A12" s="1"/>
      <c r="B12" s="59" t="s">
        <v>24</v>
      </c>
      <c r="C12" s="9">
        <f>-'Fane 4.2. Gen. krav - anlæg'!G48</f>
        <v>0</v>
      </c>
      <c r="D12" s="8" t="s">
        <v>3</v>
      </c>
      <c r="E12" s="1"/>
    </row>
    <row r="13" spans="1:5" ht="15" customHeight="1" x14ac:dyDescent="0.25">
      <c r="A13" s="1"/>
      <c r="B13" s="31" t="s">
        <v>19</v>
      </c>
      <c r="C13" s="10">
        <f>SUM(C8:C12)</f>
        <v>5857216.1990907369</v>
      </c>
      <c r="D13" s="11" t="s">
        <v>3</v>
      </c>
      <c r="E13" s="1"/>
    </row>
    <row r="14" spans="1:5" x14ac:dyDescent="0.25">
      <c r="A14" s="1"/>
      <c r="B14" s="66" t="s">
        <v>11</v>
      </c>
      <c r="C14" s="67"/>
      <c r="D14" s="19"/>
      <c r="E14" s="1"/>
    </row>
    <row r="15" spans="1:5" ht="15" customHeight="1" x14ac:dyDescent="0.25">
      <c r="A15" s="1"/>
      <c r="B15" s="60" t="s">
        <v>11</v>
      </c>
      <c r="C15" s="10">
        <f>'Fane 6. Ikke-påvirkelige omk.'!C14*(1+'Fane 13. Nøgletal'!C15)</f>
        <v>2108853.5843520584</v>
      </c>
      <c r="D15" s="11" t="s">
        <v>3</v>
      </c>
      <c r="E15" s="1"/>
    </row>
    <row r="16" spans="1:5" x14ac:dyDescent="0.25">
      <c r="A16" s="1"/>
      <c r="B16" s="25" t="s">
        <v>128</v>
      </c>
      <c r="C16" s="67"/>
      <c r="D16" s="19"/>
      <c r="E16" s="1"/>
    </row>
    <row r="17" spans="1:5" ht="15" customHeight="1" x14ac:dyDescent="0.25">
      <c r="A17" s="1"/>
      <c r="B17" s="75" t="s">
        <v>129</v>
      </c>
      <c r="C17" s="10">
        <f>'Fane 7. Kontrol af ØR2021'!E31</f>
        <v>-208266.57517036999</v>
      </c>
      <c r="D17" s="11" t="s">
        <v>3</v>
      </c>
      <c r="E17" s="1"/>
    </row>
    <row r="18" spans="1:5" x14ac:dyDescent="0.25">
      <c r="A18" s="1"/>
      <c r="B18" s="25" t="s">
        <v>153</v>
      </c>
      <c r="C18" s="67"/>
      <c r="D18" s="19"/>
      <c r="E18" s="1"/>
    </row>
    <row r="19" spans="1:5" x14ac:dyDescent="0.25">
      <c r="A19" s="1"/>
      <c r="B19" s="75" t="s">
        <v>154</v>
      </c>
      <c r="C19" s="10">
        <f>'Fane 8. Skattesagen'!G13</f>
        <v>0</v>
      </c>
      <c r="D19" s="11" t="s">
        <v>3</v>
      </c>
      <c r="E19" s="1"/>
    </row>
    <row r="20" spans="1:5" x14ac:dyDescent="0.25">
      <c r="A20" s="1"/>
      <c r="B20" s="66" t="s">
        <v>138</v>
      </c>
      <c r="C20" s="12">
        <f>SUM(C13,C15,C17,C19)</f>
        <v>7757803.2082724255</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sheetData>
  <sheetProtection algorithmName="SHA-512" hashValue="BTIc97FscDyXMeo0QEJ904t6zVBwn8bKwsqImyRLA+9RIA25seujN1FIOlWDAz5t6obHBfhLzEPJEJ0UIF4EKg==" saltValue="q2vCfwDraDExSS2y1yoka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1"/>
  <sheetViews>
    <sheetView showGridLines="0" view="pageLayout" zoomScaleNormal="100" workbookViewId="0"/>
  </sheetViews>
  <sheetFormatPr defaultColWidth="9" defaultRowHeight="15" x14ac:dyDescent="0.25"/>
  <cols>
    <col min="1" max="1" width="5" style="2" customWidth="1"/>
    <col min="2" max="2" width="63.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95" t="s">
        <v>167</v>
      </c>
      <c r="C3" s="95"/>
      <c r="D3" s="95"/>
      <c r="E3" s="1"/>
    </row>
    <row r="4" spans="1:5" ht="15" customHeight="1" x14ac:dyDescent="0.25">
      <c r="A4" s="1"/>
      <c r="B4" s="95"/>
      <c r="C4" s="95"/>
      <c r="D4" s="95"/>
      <c r="E4" s="1"/>
    </row>
    <row r="5" spans="1:5" x14ac:dyDescent="0.25">
      <c r="A5" s="1"/>
      <c r="B5" s="96" t="s">
        <v>20</v>
      </c>
      <c r="C5" s="96"/>
      <c r="D5" s="96"/>
      <c r="E5" s="1"/>
    </row>
    <row r="6" spans="1:5" x14ac:dyDescent="0.25">
      <c r="A6" s="1"/>
      <c r="B6" s="1"/>
      <c r="C6" s="1"/>
      <c r="D6" s="1"/>
      <c r="E6" s="1"/>
    </row>
    <row r="7" spans="1:5" x14ac:dyDescent="0.25">
      <c r="A7" s="1"/>
      <c r="B7" s="66" t="s">
        <v>12</v>
      </c>
      <c r="C7" s="67"/>
      <c r="D7" s="19"/>
      <c r="E7" s="1"/>
    </row>
    <row r="8" spans="1:5" ht="15" customHeight="1" x14ac:dyDescent="0.25">
      <c r="A8" s="1"/>
      <c r="B8" s="63" t="s">
        <v>139</v>
      </c>
      <c r="C8" s="7">
        <f>'Fane 2.2. Økonomisk ramme 2024'!C13</f>
        <v>5857216.1990907369</v>
      </c>
      <c r="D8" s="8" t="s">
        <v>3</v>
      </c>
      <c r="E8" s="1"/>
    </row>
    <row r="9" spans="1:5" ht="15" customHeight="1" x14ac:dyDescent="0.25">
      <c r="A9" s="1"/>
      <c r="B9" s="59" t="s">
        <v>17</v>
      </c>
      <c r="C9" s="9">
        <f>SUM(C8:C8)*'Fane 13. Nøgletal'!C15</f>
        <v>208516.89668763024</v>
      </c>
      <c r="D9" s="8" t="s">
        <v>3</v>
      </c>
      <c r="E9" s="1"/>
    </row>
    <row r="10" spans="1:5" ht="15" customHeight="1" x14ac:dyDescent="0.25">
      <c r="A10" s="1"/>
      <c r="B10" s="59" t="s">
        <v>9</v>
      </c>
      <c r="C10" s="9">
        <f>-SUM(C8:C9)*'Fane 5. Individuelt eff. krav'!G9</f>
        <v>-30161.560461429526</v>
      </c>
      <c r="D10" s="8" t="s">
        <v>3</v>
      </c>
      <c r="E10" s="1"/>
    </row>
    <row r="11" spans="1:5" ht="15" customHeight="1" x14ac:dyDescent="0.25">
      <c r="A11" s="1"/>
      <c r="B11" s="59" t="s">
        <v>23</v>
      </c>
      <c r="C11" s="9">
        <f>-'Fane 4.1. Gen. krav - drift'!G53</f>
        <v>-79675.569646825723</v>
      </c>
      <c r="D11" s="8" t="s">
        <v>3</v>
      </c>
      <c r="E11" s="1"/>
    </row>
    <row r="12" spans="1:5" ht="15" customHeight="1" x14ac:dyDescent="0.25">
      <c r="A12" s="1"/>
      <c r="B12" s="59" t="s">
        <v>24</v>
      </c>
      <c r="C12" s="26">
        <f>-'Fane 4.2. Gen. krav - anlæg'!G53</f>
        <v>0</v>
      </c>
      <c r="D12" s="8" t="s">
        <v>3</v>
      </c>
      <c r="E12" s="1"/>
    </row>
    <row r="13" spans="1:5" x14ac:dyDescent="0.25">
      <c r="A13" s="1"/>
      <c r="B13" s="31" t="s">
        <v>19</v>
      </c>
      <c r="C13" s="10">
        <f>SUM(C8:C12)</f>
        <v>5955895.9656701116</v>
      </c>
      <c r="D13" s="11" t="s">
        <v>3</v>
      </c>
      <c r="E13" s="1"/>
    </row>
    <row r="14" spans="1:5" x14ac:dyDescent="0.25">
      <c r="A14" s="1"/>
      <c r="B14" s="66" t="s">
        <v>11</v>
      </c>
      <c r="C14" s="67"/>
      <c r="D14" s="19"/>
      <c r="E14" s="1"/>
    </row>
    <row r="15" spans="1:5" ht="15" customHeight="1" x14ac:dyDescent="0.25">
      <c r="A15" s="1"/>
      <c r="B15" s="60" t="s">
        <v>11</v>
      </c>
      <c r="C15" s="10">
        <f>'Fane 6. Ikke-påvirkelige omk.'!C14*(1+'Fane 13. Nøgletal'!C15)^2</f>
        <v>2183928.7719549919</v>
      </c>
      <c r="D15" s="11" t="s">
        <v>3</v>
      </c>
      <c r="E15" s="1"/>
    </row>
    <row r="16" spans="1:5" x14ac:dyDescent="0.25">
      <c r="A16" s="1"/>
      <c r="B16" s="66" t="s">
        <v>128</v>
      </c>
      <c r="C16" s="67"/>
      <c r="D16" s="19"/>
      <c r="E16" s="1"/>
    </row>
    <row r="17" spans="1:5" x14ac:dyDescent="0.25">
      <c r="A17" s="1"/>
      <c r="B17" s="60" t="s">
        <v>129</v>
      </c>
      <c r="C17" s="10">
        <v>0</v>
      </c>
      <c r="D17" s="11" t="s">
        <v>3</v>
      </c>
      <c r="E17" s="1"/>
    </row>
    <row r="18" spans="1:5" ht="15" customHeight="1" x14ac:dyDescent="0.25">
      <c r="A18" s="1"/>
      <c r="B18" s="25" t="s">
        <v>153</v>
      </c>
      <c r="C18" s="67"/>
      <c r="D18" s="19"/>
      <c r="E18" s="1"/>
    </row>
    <row r="19" spans="1:5" ht="15" customHeight="1" x14ac:dyDescent="0.25">
      <c r="A19" s="1"/>
      <c r="B19" s="75" t="s">
        <v>154</v>
      </c>
      <c r="C19" s="10">
        <f>'Fane 8. Skattesagen'!G14</f>
        <v>0</v>
      </c>
      <c r="D19" s="11" t="s">
        <v>3</v>
      </c>
      <c r="E19" s="1"/>
    </row>
    <row r="20" spans="1:5" x14ac:dyDescent="0.25">
      <c r="A20" s="1"/>
      <c r="B20" s="66" t="s">
        <v>140</v>
      </c>
      <c r="C20" s="12">
        <f>SUM(C13,C15,C17,C19)</f>
        <v>8139824.7376251034</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ouvSLfbdmUhzS2kVYYxpJzItBeefctJlG9pZof6ov04lYDdxMyuUlwpt1aBDJebFTKK8HJFOSKi+V9FyERJV8w==" saltValue="zPzaZGLr11sk+gz2CtJXR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1"/>
  <sheetViews>
    <sheetView showGridLines="0" view="pageLayout" zoomScaleNormal="100" workbookViewId="0"/>
  </sheetViews>
  <sheetFormatPr defaultColWidth="9" defaultRowHeight="15" x14ac:dyDescent="0.25"/>
  <cols>
    <col min="1" max="1" width="5" style="2" customWidth="1"/>
    <col min="2" max="2" width="63"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95" t="s">
        <v>168</v>
      </c>
      <c r="C3" s="95"/>
      <c r="D3" s="95"/>
      <c r="E3" s="1"/>
    </row>
    <row r="4" spans="1:5" ht="15" customHeight="1" x14ac:dyDescent="0.25">
      <c r="A4" s="1"/>
      <c r="B4" s="95"/>
      <c r="C4" s="95"/>
      <c r="D4" s="95"/>
      <c r="E4" s="1"/>
    </row>
    <row r="5" spans="1:5" x14ac:dyDescent="0.25">
      <c r="A5" s="1"/>
      <c r="B5" s="96" t="s">
        <v>20</v>
      </c>
      <c r="C5" s="96"/>
      <c r="D5" s="96"/>
      <c r="E5" s="1"/>
    </row>
    <row r="6" spans="1:5" x14ac:dyDescent="0.25">
      <c r="A6" s="1"/>
      <c r="B6" s="1"/>
      <c r="C6" s="1"/>
      <c r="D6" s="1"/>
      <c r="E6" s="1"/>
    </row>
    <row r="7" spans="1:5" x14ac:dyDescent="0.25">
      <c r="A7" s="1"/>
      <c r="B7" s="66" t="s">
        <v>12</v>
      </c>
      <c r="C7" s="67"/>
      <c r="D7" s="19"/>
      <c r="E7" s="1"/>
    </row>
    <row r="8" spans="1:5" ht="15" customHeight="1" x14ac:dyDescent="0.25">
      <c r="A8" s="1"/>
      <c r="B8" s="63" t="s">
        <v>169</v>
      </c>
      <c r="C8" s="7">
        <f>'Fane 2.3. Økonomisk ramme 2025'!C13</f>
        <v>5955895.9656701116</v>
      </c>
      <c r="D8" s="8" t="s">
        <v>3</v>
      </c>
      <c r="E8" s="1"/>
    </row>
    <row r="9" spans="1:5" ht="15" customHeight="1" x14ac:dyDescent="0.25">
      <c r="A9" s="1"/>
      <c r="B9" s="59" t="s">
        <v>17</v>
      </c>
      <c r="C9" s="9">
        <f>SUM(C8:C8)*'Fane 13. Nøgletal'!C15</f>
        <v>212029.89637785597</v>
      </c>
      <c r="D9" s="8" t="s">
        <v>3</v>
      </c>
      <c r="E9" s="1"/>
    </row>
    <row r="10" spans="1:5" ht="15" customHeight="1" x14ac:dyDescent="0.25">
      <c r="A10" s="1"/>
      <c r="B10" s="59" t="s">
        <v>9</v>
      </c>
      <c r="C10" s="9">
        <f>-SUM(C8:C9)*'Fane 5. Individuelt eff. krav'!G9</f>
        <v>-30669.708981961448</v>
      </c>
      <c r="D10" s="8" t="s">
        <v>3</v>
      </c>
      <c r="E10" s="1"/>
    </row>
    <row r="11" spans="1:5" ht="15" customHeight="1" x14ac:dyDescent="0.25">
      <c r="A11" s="1"/>
      <c r="B11" s="59" t="s">
        <v>23</v>
      </c>
      <c r="C11" s="9">
        <f>-'Fane 4.1. Gen. krav - drift'!G58</f>
        <v>-80861.77952772766</v>
      </c>
      <c r="D11" s="8" t="s">
        <v>3</v>
      </c>
      <c r="E11" s="1"/>
    </row>
    <row r="12" spans="1:5" ht="15" customHeight="1" x14ac:dyDescent="0.25">
      <c r="A12" s="1"/>
      <c r="B12" s="59" t="s">
        <v>24</v>
      </c>
      <c r="C12" s="9">
        <f>-'Fane 4.2. Gen. krav - anlæg'!G58</f>
        <v>0</v>
      </c>
      <c r="D12" s="8" t="s">
        <v>3</v>
      </c>
      <c r="E12" s="1"/>
    </row>
    <row r="13" spans="1:5" x14ac:dyDescent="0.25">
      <c r="A13" s="1"/>
      <c r="B13" s="31" t="s">
        <v>19</v>
      </c>
      <c r="C13" s="10">
        <f>SUM(C8:C12)</f>
        <v>6056394.373538279</v>
      </c>
      <c r="D13" s="11" t="s">
        <v>3</v>
      </c>
      <c r="E13" s="1"/>
    </row>
    <row r="14" spans="1:5" x14ac:dyDescent="0.25">
      <c r="A14" s="1"/>
      <c r="B14" s="66" t="s">
        <v>11</v>
      </c>
      <c r="C14" s="67"/>
      <c r="D14" s="19"/>
      <c r="E14" s="1"/>
    </row>
    <row r="15" spans="1:5" ht="15" customHeight="1" x14ac:dyDescent="0.25">
      <c r="A15" s="1"/>
      <c r="B15" s="60" t="s">
        <v>11</v>
      </c>
      <c r="C15" s="10">
        <f>'Fane 6. Ikke-påvirkelige omk.'!C14*(1+'Fane 13. Nøgletal'!C15)^3</f>
        <v>2261676.6362365899</v>
      </c>
      <c r="D15" s="11" t="s">
        <v>3</v>
      </c>
      <c r="E15" s="1"/>
    </row>
    <row r="16" spans="1:5" x14ac:dyDescent="0.25">
      <c r="A16" s="1"/>
      <c r="B16" s="66" t="s">
        <v>128</v>
      </c>
      <c r="C16" s="67"/>
      <c r="D16" s="19"/>
      <c r="E16" s="1"/>
    </row>
    <row r="17" spans="1:5" x14ac:dyDescent="0.25">
      <c r="A17" s="1"/>
      <c r="B17" s="60" t="s">
        <v>129</v>
      </c>
      <c r="C17" s="10">
        <v>0</v>
      </c>
      <c r="D17" s="11" t="s">
        <v>3</v>
      </c>
      <c r="E17" s="1"/>
    </row>
    <row r="18" spans="1:5" x14ac:dyDescent="0.25">
      <c r="A18" s="1"/>
      <c r="B18" s="25" t="s">
        <v>153</v>
      </c>
      <c r="C18" s="67"/>
      <c r="D18" s="19"/>
      <c r="E18" s="1"/>
    </row>
    <row r="19" spans="1:5" x14ac:dyDescent="0.25">
      <c r="A19" s="1"/>
      <c r="B19" s="75" t="s">
        <v>154</v>
      </c>
      <c r="C19" s="10">
        <f>'Fane 8. Skattesagen'!G15</f>
        <v>0</v>
      </c>
      <c r="D19" s="11" t="s">
        <v>3</v>
      </c>
      <c r="E19" s="1"/>
    </row>
    <row r="20" spans="1:5" x14ac:dyDescent="0.25">
      <c r="A20" s="1"/>
      <c r="B20" s="66" t="s">
        <v>170</v>
      </c>
      <c r="C20" s="12">
        <f>SUM(C13,C15,C17,C19)</f>
        <v>8318071.0097748693</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fsGQM8EfnQP9d5r41tQbOrGOxhxXn3q0v+cp9mDYI6HjpT89MAqM/hy9RHyoe8Y/ZBnJ6eJf3J0/wA8geRwbtw==" saltValue="mMc28sGIV0Nh03q9eLSum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8"/>
  <sheetViews>
    <sheetView showGridLines="0" view="pageLayout" zoomScaleNormal="100" workbookViewId="0"/>
  </sheetViews>
  <sheetFormatPr defaultColWidth="9" defaultRowHeight="15" x14ac:dyDescent="0.25"/>
  <cols>
    <col min="1" max="1" width="7.85546875" style="2" customWidth="1"/>
    <col min="2" max="2" width="51.7109375" style="2" customWidth="1"/>
    <col min="3" max="3" width="9" style="2" hidden="1" customWidth="1"/>
    <col min="4" max="4" width="39.28515625" style="2" hidden="1" customWidth="1"/>
    <col min="5" max="5" width="11" style="2" customWidth="1"/>
    <col min="6" max="6" width="4.5703125" style="2" customWidth="1"/>
    <col min="7" max="7" width="8.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3" t="s">
        <v>171</v>
      </c>
      <c r="C3" s="103"/>
      <c r="D3" s="103"/>
      <c r="E3" s="103"/>
      <c r="F3" s="103"/>
      <c r="G3" s="1"/>
    </row>
    <row r="4" spans="1:7" ht="29.25" customHeight="1" x14ac:dyDescent="0.25">
      <c r="A4" s="1"/>
      <c r="B4" s="103"/>
      <c r="C4" s="103"/>
      <c r="D4" s="103"/>
      <c r="E4" s="103"/>
      <c r="F4" s="10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6" t="s">
        <v>172</v>
      </c>
      <c r="C8" s="67"/>
      <c r="D8" s="67"/>
      <c r="E8" s="67"/>
      <c r="F8" s="19"/>
      <c r="G8" s="1"/>
    </row>
    <row r="9" spans="1:7" x14ac:dyDescent="0.25">
      <c r="A9" s="1"/>
      <c r="B9" s="104" t="s">
        <v>22</v>
      </c>
      <c r="C9" s="105"/>
      <c r="D9" s="106"/>
      <c r="E9" s="7">
        <v>4981275.5336195845</v>
      </c>
      <c r="F9" s="8" t="s">
        <v>3</v>
      </c>
      <c r="G9" s="1"/>
    </row>
    <row r="10" spans="1:7" ht="15" customHeight="1" x14ac:dyDescent="0.25">
      <c r="A10" s="1"/>
      <c r="B10" s="97" t="s">
        <v>35</v>
      </c>
      <c r="C10" s="98"/>
      <c r="D10" s="99"/>
      <c r="E10" s="9">
        <v>0</v>
      </c>
      <c r="F10" s="8" t="s">
        <v>3</v>
      </c>
      <c r="G10" s="1"/>
    </row>
    <row r="11" spans="1:7" ht="15" customHeight="1" x14ac:dyDescent="0.25">
      <c r="A11" s="1"/>
      <c r="B11" s="97" t="s">
        <v>36</v>
      </c>
      <c r="C11" s="98"/>
      <c r="D11" s="99"/>
      <c r="E11" s="9">
        <v>0</v>
      </c>
      <c r="F11" s="8" t="s">
        <v>3</v>
      </c>
      <c r="G11" s="1"/>
    </row>
    <row r="12" spans="1:7" x14ac:dyDescent="0.25">
      <c r="A12" s="1"/>
      <c r="B12" s="97" t="s">
        <v>26</v>
      </c>
      <c r="C12" s="98"/>
      <c r="D12" s="99"/>
      <c r="E12" s="9">
        <v>0</v>
      </c>
      <c r="F12" s="8" t="s">
        <v>3</v>
      </c>
      <c r="G12" s="1"/>
    </row>
    <row r="13" spans="1:7" x14ac:dyDescent="0.25">
      <c r="A13" s="1"/>
      <c r="B13" s="97" t="s">
        <v>25</v>
      </c>
      <c r="C13" s="98"/>
      <c r="D13" s="99"/>
      <c r="E13" s="9">
        <v>0</v>
      </c>
      <c r="F13" s="8" t="s">
        <v>3</v>
      </c>
      <c r="G13" s="1"/>
    </row>
    <row r="14" spans="1:7" x14ac:dyDescent="0.25">
      <c r="A14" s="1"/>
      <c r="B14" s="97" t="s">
        <v>114</v>
      </c>
      <c r="C14" s="98"/>
      <c r="D14" s="99"/>
      <c r="E14" s="9">
        <v>0</v>
      </c>
      <c r="F14" s="8" t="s">
        <v>3</v>
      </c>
      <c r="G14" s="1"/>
    </row>
    <row r="15" spans="1:7" x14ac:dyDescent="0.25">
      <c r="A15" s="1"/>
      <c r="B15" s="97" t="s">
        <v>115</v>
      </c>
      <c r="C15" s="98"/>
      <c r="D15" s="99"/>
      <c r="E15" s="9">
        <v>0</v>
      </c>
      <c r="F15" s="8" t="s">
        <v>3</v>
      </c>
      <c r="G15" s="1"/>
    </row>
    <row r="16" spans="1:7" x14ac:dyDescent="0.25">
      <c r="A16" s="1"/>
      <c r="B16" s="97" t="s">
        <v>17</v>
      </c>
      <c r="C16" s="98"/>
      <c r="D16" s="99"/>
      <c r="E16" s="9">
        <v>60771.561510158936</v>
      </c>
      <c r="F16" s="8" t="s">
        <v>3</v>
      </c>
      <c r="G16" s="29"/>
    </row>
    <row r="17" spans="1:7" x14ac:dyDescent="0.25">
      <c r="A17" s="1"/>
      <c r="B17" s="97" t="s">
        <v>9</v>
      </c>
      <c r="C17" s="98"/>
      <c r="D17" s="99"/>
      <c r="E17" s="9">
        <v>-23052.351803286892</v>
      </c>
      <c r="F17" s="8" t="s">
        <v>3</v>
      </c>
      <c r="G17" s="1"/>
    </row>
    <row r="18" spans="1:7" x14ac:dyDescent="0.25">
      <c r="A18" s="1"/>
      <c r="B18" s="97" t="s">
        <v>23</v>
      </c>
      <c r="C18" s="98"/>
      <c r="D18" s="99"/>
      <c r="E18" s="9">
        <v>-60396.763571891657</v>
      </c>
      <c r="F18" s="8" t="s">
        <v>3</v>
      </c>
      <c r="G18" s="1"/>
    </row>
    <row r="19" spans="1:7" x14ac:dyDescent="0.25">
      <c r="A19" s="1"/>
      <c r="B19" s="97" t="s">
        <v>24</v>
      </c>
      <c r="C19" s="98"/>
      <c r="D19" s="99"/>
      <c r="E19" s="9">
        <v>-68786.724626825278</v>
      </c>
      <c r="F19" s="8" t="s">
        <v>3</v>
      </c>
      <c r="G19" s="1"/>
    </row>
    <row r="20" spans="1:7" x14ac:dyDescent="0.25">
      <c r="A20" s="1"/>
      <c r="B20" s="110" t="s">
        <v>19</v>
      </c>
      <c r="C20" s="111"/>
      <c r="D20" s="112"/>
      <c r="E20" s="30">
        <f>SUM(E9:E19)</f>
        <v>4889811.2551277392</v>
      </c>
      <c r="F20" s="32" t="s">
        <v>3</v>
      </c>
      <c r="G20" s="1"/>
    </row>
    <row r="21" spans="1:7" x14ac:dyDescent="0.25">
      <c r="A21" s="1"/>
      <c r="B21" s="66" t="s">
        <v>11</v>
      </c>
      <c r="C21" s="67"/>
      <c r="D21" s="67"/>
      <c r="E21" s="67"/>
      <c r="F21" s="19"/>
      <c r="G21" s="1"/>
    </row>
    <row r="22" spans="1:7" x14ac:dyDescent="0.25">
      <c r="A22" s="1"/>
      <c r="B22" s="100" t="s">
        <v>11</v>
      </c>
      <c r="C22" s="101"/>
      <c r="D22" s="102"/>
      <c r="E22" s="10">
        <v>2783605.2527783606</v>
      </c>
      <c r="F22" s="11" t="s">
        <v>3</v>
      </c>
      <c r="G22" s="1"/>
    </row>
    <row r="23" spans="1:7" ht="15" customHeight="1" x14ac:dyDescent="0.25">
      <c r="A23" s="1"/>
      <c r="B23" s="116" t="s">
        <v>80</v>
      </c>
      <c r="C23" s="117"/>
      <c r="D23" s="117"/>
      <c r="E23" s="67"/>
      <c r="F23" s="67"/>
      <c r="G23" s="1"/>
    </row>
    <row r="24" spans="1:7" ht="14.25" customHeight="1" x14ac:dyDescent="0.25">
      <c r="A24" s="1"/>
      <c r="B24" s="107" t="s">
        <v>76</v>
      </c>
      <c r="C24" s="108"/>
      <c r="D24" s="109"/>
      <c r="E24" s="9">
        <v>0</v>
      </c>
      <c r="F24" s="8" t="s">
        <v>3</v>
      </c>
      <c r="G24" s="1"/>
    </row>
    <row r="25" spans="1:7" ht="14.25" customHeight="1" x14ac:dyDescent="0.25">
      <c r="A25" s="1"/>
      <c r="B25" s="107" t="s">
        <v>77</v>
      </c>
      <c r="C25" s="108"/>
      <c r="D25" s="109"/>
      <c r="E25" s="9">
        <v>0</v>
      </c>
      <c r="F25" s="8" t="s">
        <v>3</v>
      </c>
      <c r="G25" s="1"/>
    </row>
    <row r="26" spans="1:7" x14ac:dyDescent="0.25">
      <c r="A26" s="1"/>
      <c r="B26" s="113" t="s">
        <v>81</v>
      </c>
      <c r="C26" s="114"/>
      <c r="D26" s="114"/>
      <c r="E26" s="10">
        <v>0</v>
      </c>
      <c r="F26" s="11" t="s">
        <v>3</v>
      </c>
      <c r="G26" s="1"/>
    </row>
    <row r="27" spans="1:7" x14ac:dyDescent="0.25">
      <c r="A27" s="1"/>
      <c r="B27" s="66" t="s">
        <v>128</v>
      </c>
      <c r="C27" s="67"/>
      <c r="D27" s="67"/>
      <c r="E27" s="67"/>
      <c r="F27" s="19"/>
      <c r="G27" s="1"/>
    </row>
    <row r="28" spans="1:7" ht="15" customHeight="1" x14ac:dyDescent="0.25">
      <c r="A28" s="1"/>
      <c r="B28" s="113" t="s">
        <v>129</v>
      </c>
      <c r="C28" s="114"/>
      <c r="D28" s="115"/>
      <c r="E28" s="10">
        <v>-484133</v>
      </c>
      <c r="F28" s="11" t="s">
        <v>3</v>
      </c>
      <c r="G28" s="1"/>
    </row>
    <row r="29" spans="1:7" x14ac:dyDescent="0.25">
      <c r="A29" s="1"/>
      <c r="B29" s="66" t="s">
        <v>159</v>
      </c>
      <c r="C29" s="67"/>
      <c r="D29" s="67"/>
      <c r="E29" s="67"/>
      <c r="F29" s="19"/>
      <c r="G29" s="1"/>
    </row>
    <row r="30" spans="1:7" ht="15.75" customHeight="1" x14ac:dyDescent="0.25">
      <c r="A30" s="1"/>
      <c r="B30" s="100" t="s">
        <v>160</v>
      </c>
      <c r="C30" s="101"/>
      <c r="D30" s="102"/>
      <c r="E30" s="10">
        <v>0</v>
      </c>
      <c r="F30" s="11" t="s">
        <v>3</v>
      </c>
      <c r="G30" s="1"/>
    </row>
    <row r="31" spans="1:7" ht="15.75" customHeight="1" x14ac:dyDescent="0.25">
      <c r="A31" s="1"/>
      <c r="B31" s="118" t="s">
        <v>153</v>
      </c>
      <c r="C31" s="119"/>
      <c r="D31" s="119"/>
      <c r="E31" s="119"/>
      <c r="F31" s="120"/>
      <c r="G31" s="1"/>
    </row>
    <row r="32" spans="1:7" ht="15.75" customHeight="1" x14ac:dyDescent="0.25">
      <c r="A32" s="1"/>
      <c r="B32" s="75" t="s">
        <v>154</v>
      </c>
      <c r="C32" s="10"/>
      <c r="D32" s="11"/>
      <c r="E32" s="10">
        <f>'Fane 8. Skattesagen'!G11</f>
        <v>0</v>
      </c>
      <c r="F32" s="11" t="s">
        <v>3</v>
      </c>
      <c r="G32" s="1"/>
    </row>
    <row r="33" spans="1:7" x14ac:dyDescent="0.25">
      <c r="A33" s="1"/>
      <c r="B33" s="66" t="s">
        <v>27</v>
      </c>
      <c r="C33" s="67"/>
      <c r="D33" s="67"/>
      <c r="E33" s="12">
        <f>E20+E22+E26+E28+E30+E32</f>
        <v>7189283.5079060998</v>
      </c>
      <c r="F33" s="13" t="s">
        <v>3</v>
      </c>
      <c r="G33" s="1"/>
    </row>
    <row r="34" spans="1:7" ht="27.75" customHeight="1" x14ac:dyDescent="0.25">
      <c r="A34" s="1"/>
      <c r="B34" s="107" t="s">
        <v>173</v>
      </c>
      <c r="C34" s="108"/>
      <c r="D34" s="108"/>
      <c r="E34" s="108"/>
      <c r="F34" s="109"/>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uO4HDUdtq9yVJDVqpMDE5YuTrIzqdxOljmQqR6E/wbM1T18YWgrGqObeKub+v1eupubutRVxMpUgJVcQg7K4Zg==" saltValue="YW5byKGpVYhDIgAr5cIBfw==" spinCount="100000" sheet="1" objects="1" scenarios="1"/>
  <mergeCells count="22">
    <mergeCell ref="B34:F34"/>
    <mergeCell ref="B16:D16"/>
    <mergeCell ref="B17:D17"/>
    <mergeCell ref="B18:D18"/>
    <mergeCell ref="B19:D19"/>
    <mergeCell ref="B20:D20"/>
    <mergeCell ref="B28:D28"/>
    <mergeCell ref="B23:D23"/>
    <mergeCell ref="B24:D24"/>
    <mergeCell ref="B25:D25"/>
    <mergeCell ref="B26:D26"/>
    <mergeCell ref="B30:D30"/>
    <mergeCell ref="B31:F31"/>
    <mergeCell ref="B13:D13"/>
    <mergeCell ref="B14:D14"/>
    <mergeCell ref="B15:D15"/>
    <mergeCell ref="B22:D22"/>
    <mergeCell ref="B3:F4"/>
    <mergeCell ref="B9:D9"/>
    <mergeCell ref="B10:D10"/>
    <mergeCell ref="B11:D11"/>
    <mergeCell ref="B12:D12"/>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5"/>
  <sheetViews>
    <sheetView showGridLines="0" view="pageLayout" zoomScaleNormal="100" workbookViewId="0"/>
  </sheetViews>
  <sheetFormatPr defaultColWidth="9" defaultRowHeight="15" x14ac:dyDescent="0.25"/>
  <cols>
    <col min="1" max="1" width="6" style="2" customWidth="1"/>
    <col min="2" max="5" width="9" style="2"/>
    <col min="6" max="6" width="18.85546875" style="2" customWidth="1"/>
    <col min="7" max="7" width="13.28515625" style="38" customWidth="1"/>
    <col min="8" max="8" width="3.7109375" style="2" customWidth="1"/>
    <col min="9" max="9" width="6.7109375" style="2" customWidth="1"/>
    <col min="10" max="16384" width="9" style="2"/>
  </cols>
  <sheetData>
    <row r="1" spans="1:9" ht="15" customHeight="1" x14ac:dyDescent="0.25">
      <c r="A1" s="1"/>
      <c r="B1" s="103" t="s">
        <v>98</v>
      </c>
      <c r="C1" s="103"/>
      <c r="D1" s="103"/>
      <c r="E1" s="103"/>
      <c r="F1" s="103"/>
      <c r="G1" s="103"/>
      <c r="H1" s="103"/>
      <c r="I1" s="1"/>
    </row>
    <row r="2" spans="1:9" ht="15" customHeight="1" x14ac:dyDescent="0.25">
      <c r="A2" s="1"/>
      <c r="B2" s="103"/>
      <c r="C2" s="103"/>
      <c r="D2" s="103"/>
      <c r="E2" s="103"/>
      <c r="F2" s="103"/>
      <c r="G2" s="103"/>
      <c r="H2" s="103"/>
      <c r="I2" s="1"/>
    </row>
    <row r="3" spans="1:9" ht="15" customHeight="1" x14ac:dyDescent="0.25">
      <c r="A3" s="1"/>
      <c r="B3" s="103"/>
      <c r="C3" s="103"/>
      <c r="D3" s="103"/>
      <c r="E3" s="103"/>
      <c r="F3" s="103"/>
      <c r="G3" s="103"/>
      <c r="H3" s="103"/>
      <c r="I3" s="1"/>
    </row>
    <row r="4" spans="1:9" x14ac:dyDescent="0.25">
      <c r="A4" s="1"/>
      <c r="B4" s="118" t="s">
        <v>49</v>
      </c>
      <c r="C4" s="119"/>
      <c r="D4" s="119"/>
      <c r="E4" s="119"/>
      <c r="F4" s="119"/>
      <c r="G4" s="119"/>
      <c r="H4" s="120"/>
      <c r="I4" s="1"/>
    </row>
    <row r="5" spans="1:9" x14ac:dyDescent="0.25">
      <c r="A5" s="1"/>
      <c r="B5" s="121" t="s">
        <v>38</v>
      </c>
      <c r="C5" s="122"/>
      <c r="D5" s="122"/>
      <c r="E5" s="122"/>
      <c r="F5" s="123"/>
      <c r="G5" s="53">
        <v>3113747.0018212935</v>
      </c>
      <c r="H5" s="14" t="s">
        <v>3</v>
      </c>
      <c r="I5" s="1"/>
    </row>
    <row r="6" spans="1:9" x14ac:dyDescent="0.25">
      <c r="A6" s="1"/>
      <c r="B6" s="121" t="s">
        <v>39</v>
      </c>
      <c r="C6" s="122"/>
      <c r="D6" s="122"/>
      <c r="E6" s="122"/>
      <c r="F6" s="123"/>
      <c r="G6" s="53">
        <f>G5*'Fane 13. Nøgletal'!C31</f>
        <v>62274.940036425869</v>
      </c>
      <c r="H6" s="14" t="s">
        <v>3</v>
      </c>
      <c r="I6" s="1"/>
    </row>
    <row r="7" spans="1:9" x14ac:dyDescent="0.25">
      <c r="A7" s="1"/>
      <c r="B7" s="66"/>
      <c r="C7" s="67"/>
      <c r="D7" s="67"/>
      <c r="E7" s="67"/>
      <c r="F7" s="67"/>
      <c r="G7" s="54"/>
      <c r="H7" s="19"/>
      <c r="I7" s="1"/>
    </row>
    <row r="8" spans="1:9" x14ac:dyDescent="0.25">
      <c r="A8" s="1"/>
      <c r="B8" s="1"/>
      <c r="C8" s="1"/>
      <c r="D8" s="1"/>
      <c r="E8" s="1"/>
      <c r="F8" s="1"/>
      <c r="G8" s="55"/>
      <c r="H8" s="1"/>
      <c r="I8" s="1"/>
    </row>
    <row r="9" spans="1:9" x14ac:dyDescent="0.25">
      <c r="A9" s="1"/>
      <c r="B9" s="118" t="s">
        <v>50</v>
      </c>
      <c r="C9" s="119"/>
      <c r="D9" s="119"/>
      <c r="E9" s="119"/>
      <c r="F9" s="119"/>
      <c r="G9" s="124"/>
      <c r="H9" s="120"/>
      <c r="I9" s="1"/>
    </row>
    <row r="10" spans="1:9" x14ac:dyDescent="0.25">
      <c r="A10" s="1"/>
      <c r="B10" s="121" t="s">
        <v>40</v>
      </c>
      <c r="C10" s="122"/>
      <c r="D10" s="122"/>
      <c r="E10" s="122"/>
      <c r="F10" s="123"/>
      <c r="G10" s="53">
        <f>(G5-G6)*(1+'Fane 13. Nøgletal'!C9)</f>
        <v>3090225.7569695353</v>
      </c>
      <c r="H10" s="14" t="s">
        <v>3</v>
      </c>
      <c r="I10" s="1"/>
    </row>
    <row r="11" spans="1:9" x14ac:dyDescent="0.25">
      <c r="A11" s="1"/>
      <c r="B11" s="125" t="s">
        <v>41</v>
      </c>
      <c r="C11" s="126"/>
      <c r="D11" s="126"/>
      <c r="E11" s="126"/>
      <c r="F11" s="127"/>
      <c r="G11" s="53">
        <v>0</v>
      </c>
      <c r="H11" s="14" t="s">
        <v>3</v>
      </c>
      <c r="I11" s="1"/>
    </row>
    <row r="12" spans="1:9" x14ac:dyDescent="0.25">
      <c r="A12" s="1"/>
      <c r="B12" s="121" t="s">
        <v>42</v>
      </c>
      <c r="C12" s="122"/>
      <c r="D12" s="122"/>
      <c r="E12" s="122"/>
      <c r="F12" s="123"/>
      <c r="G12" s="53">
        <f>(G10+G11)*'Fane 13. Nøgletal'!C31</f>
        <v>61804.515139390707</v>
      </c>
      <c r="H12" s="14" t="s">
        <v>3</v>
      </c>
      <c r="I12" s="1"/>
    </row>
    <row r="13" spans="1:9" x14ac:dyDescent="0.25">
      <c r="A13" s="1"/>
      <c r="B13" s="66"/>
      <c r="C13" s="67"/>
      <c r="D13" s="67"/>
      <c r="E13" s="67"/>
      <c r="F13" s="67"/>
      <c r="G13" s="54"/>
      <c r="H13" s="19"/>
      <c r="I13" s="1"/>
    </row>
    <row r="14" spans="1:9" x14ac:dyDescent="0.25">
      <c r="A14" s="1"/>
      <c r="B14" s="1"/>
      <c r="C14" s="1"/>
      <c r="D14" s="1"/>
      <c r="E14" s="1"/>
      <c r="F14" s="1"/>
      <c r="G14" s="55"/>
      <c r="H14" s="1"/>
      <c r="I14" s="1"/>
    </row>
    <row r="15" spans="1:9" x14ac:dyDescent="0.25">
      <c r="A15" s="1"/>
      <c r="B15" s="118" t="s">
        <v>51</v>
      </c>
      <c r="C15" s="119"/>
      <c r="D15" s="119"/>
      <c r="E15" s="119"/>
      <c r="F15" s="119"/>
      <c r="G15" s="124"/>
      <c r="H15" s="120"/>
      <c r="I15" s="1"/>
    </row>
    <row r="16" spans="1:9" x14ac:dyDescent="0.25">
      <c r="A16" s="1"/>
      <c r="B16" s="121" t="s">
        <v>43</v>
      </c>
      <c r="C16" s="122"/>
      <c r="D16" s="122"/>
      <c r="E16" s="122"/>
      <c r="F16" s="123"/>
      <c r="G16" s="53">
        <f>(G10+G11-G12)*(1+'Fane 13. Nøgletal'!C11)</f>
        <v>3079601.5608170736</v>
      </c>
      <c r="H16" s="14" t="s">
        <v>3</v>
      </c>
      <c r="I16" s="1"/>
    </row>
    <row r="17" spans="1:9" x14ac:dyDescent="0.25">
      <c r="A17" s="1"/>
      <c r="B17" s="121" t="s">
        <v>108</v>
      </c>
      <c r="C17" s="122"/>
      <c r="D17" s="122"/>
      <c r="E17" s="122"/>
      <c r="F17" s="123"/>
      <c r="G17" s="53">
        <v>0</v>
      </c>
      <c r="H17" s="14" t="s">
        <v>3</v>
      </c>
      <c r="I17" s="1"/>
    </row>
    <row r="18" spans="1:9" x14ac:dyDescent="0.25">
      <c r="A18" s="1"/>
      <c r="B18" s="125" t="s">
        <v>44</v>
      </c>
      <c r="C18" s="126"/>
      <c r="D18" s="126"/>
      <c r="E18" s="126"/>
      <c r="F18" s="127"/>
      <c r="G18" s="53">
        <v>0</v>
      </c>
      <c r="H18" s="14" t="s">
        <v>3</v>
      </c>
      <c r="I18" s="1"/>
    </row>
    <row r="19" spans="1:9" x14ac:dyDescent="0.25">
      <c r="A19" s="1"/>
      <c r="B19" s="121" t="s">
        <v>45</v>
      </c>
      <c r="C19" s="122"/>
      <c r="D19" s="122"/>
      <c r="E19" s="122"/>
      <c r="F19" s="123"/>
      <c r="G19" s="53">
        <f>SUM(G16:G18)*'Fane 13. Nøgletal'!C31</f>
        <v>61592.031216341471</v>
      </c>
      <c r="H19" s="14" t="s">
        <v>3</v>
      </c>
      <c r="I19" s="1"/>
    </row>
    <row r="20" spans="1:9" x14ac:dyDescent="0.25">
      <c r="A20" s="1"/>
      <c r="B20" s="66"/>
      <c r="C20" s="67"/>
      <c r="D20" s="67"/>
      <c r="E20" s="67"/>
      <c r="F20" s="67"/>
      <c r="G20" s="54"/>
      <c r="H20" s="19"/>
      <c r="I20" s="1"/>
    </row>
    <row r="21" spans="1:9" x14ac:dyDescent="0.25">
      <c r="A21" s="1"/>
      <c r="B21" s="1"/>
      <c r="C21" s="1"/>
      <c r="D21" s="1"/>
      <c r="E21" s="1"/>
      <c r="F21" s="1"/>
      <c r="G21" s="55"/>
      <c r="H21" s="1"/>
      <c r="I21" s="1"/>
    </row>
    <row r="22" spans="1:9" x14ac:dyDescent="0.25">
      <c r="A22" s="1"/>
      <c r="B22" s="118" t="s">
        <v>52</v>
      </c>
      <c r="C22" s="119"/>
      <c r="D22" s="119"/>
      <c r="E22" s="119"/>
      <c r="F22" s="119"/>
      <c r="G22" s="124"/>
      <c r="H22" s="120"/>
      <c r="I22" s="1"/>
    </row>
    <row r="23" spans="1:9" x14ac:dyDescent="0.25">
      <c r="A23" s="1"/>
      <c r="B23" s="121" t="s">
        <v>46</v>
      </c>
      <c r="C23" s="122"/>
      <c r="D23" s="122"/>
      <c r="E23" s="122"/>
      <c r="F23" s="123"/>
      <c r="G23" s="53">
        <f>(SUM(G16:G18)-G19)*(1+'Fane 13. Nøgletal'!C11)</f>
        <v>3069013.8906509844</v>
      </c>
      <c r="H23" s="14" t="s">
        <v>3</v>
      </c>
      <c r="I23" s="1"/>
    </row>
    <row r="24" spans="1:9" x14ac:dyDescent="0.25">
      <c r="A24" s="1"/>
      <c r="B24" s="125" t="s">
        <v>47</v>
      </c>
      <c r="C24" s="126"/>
      <c r="D24" s="126"/>
      <c r="E24" s="126"/>
      <c r="F24" s="127"/>
      <c r="G24" s="53">
        <v>0</v>
      </c>
      <c r="H24" s="14" t="s">
        <v>3</v>
      </c>
      <c r="I24" s="1"/>
    </row>
    <row r="25" spans="1:9" x14ac:dyDescent="0.25">
      <c r="A25" s="1"/>
      <c r="B25" s="121" t="s">
        <v>48</v>
      </c>
      <c r="C25" s="122"/>
      <c r="D25" s="122"/>
      <c r="E25" s="122"/>
      <c r="F25" s="123"/>
      <c r="G25" s="53">
        <f>(G23+G24)*'Fane 13. Nøgletal'!C31</f>
        <v>61380.277813019689</v>
      </c>
      <c r="H25" s="14" t="s">
        <v>3</v>
      </c>
      <c r="I25" s="1"/>
    </row>
    <row r="26" spans="1:9" x14ac:dyDescent="0.25">
      <c r="A26" s="1"/>
      <c r="B26" s="66"/>
      <c r="C26" s="67"/>
      <c r="D26" s="67"/>
      <c r="E26" s="67"/>
      <c r="F26" s="67"/>
      <c r="G26" s="54"/>
      <c r="H26" s="19"/>
      <c r="I26" s="1"/>
    </row>
    <row r="27" spans="1:9" x14ac:dyDescent="0.25">
      <c r="A27" s="1"/>
      <c r="B27" s="1"/>
      <c r="C27" s="1"/>
      <c r="D27" s="1"/>
      <c r="E27" s="1"/>
      <c r="F27" s="1"/>
      <c r="G27" s="55"/>
      <c r="H27" s="1"/>
      <c r="I27" s="1"/>
    </row>
    <row r="28" spans="1:9" x14ac:dyDescent="0.25">
      <c r="A28" s="1"/>
      <c r="B28" s="118" t="s">
        <v>132</v>
      </c>
      <c r="C28" s="119"/>
      <c r="D28" s="119"/>
      <c r="E28" s="119"/>
      <c r="F28" s="119"/>
      <c r="G28" s="124"/>
      <c r="H28" s="120"/>
      <c r="I28" s="1"/>
    </row>
    <row r="29" spans="1:9" x14ac:dyDescent="0.25">
      <c r="A29" s="1"/>
      <c r="B29" s="121" t="s">
        <v>55</v>
      </c>
      <c r="C29" s="122"/>
      <c r="D29" s="122"/>
      <c r="E29" s="122"/>
      <c r="F29" s="123"/>
      <c r="G29" s="53">
        <f>(G23+G24-G25)*(1+'Fane 13. Nøgletal'!C13)</f>
        <v>3044326.7429145877</v>
      </c>
      <c r="H29" s="14" t="s">
        <v>3</v>
      </c>
      <c r="I29" s="1"/>
    </row>
    <row r="30" spans="1:9" x14ac:dyDescent="0.25">
      <c r="A30" s="1"/>
      <c r="B30" s="121" t="s">
        <v>121</v>
      </c>
      <c r="C30" s="122"/>
      <c r="D30" s="122"/>
      <c r="E30" s="122"/>
      <c r="F30" s="123"/>
      <c r="G30" s="53">
        <v>0</v>
      </c>
      <c r="H30" s="14" t="s">
        <v>3</v>
      </c>
      <c r="I30" s="1"/>
    </row>
    <row r="31" spans="1:9" x14ac:dyDescent="0.25">
      <c r="A31" s="1"/>
      <c r="B31" s="121" t="s">
        <v>126</v>
      </c>
      <c r="C31" s="122"/>
      <c r="D31" s="122"/>
      <c r="E31" s="122"/>
      <c r="F31" s="123"/>
      <c r="G31" s="53">
        <f>(G29+G30)*'Fane 13. Nøgletal'!C31</f>
        <v>60886.534858291758</v>
      </c>
      <c r="H31" s="14" t="s">
        <v>3</v>
      </c>
      <c r="I31" s="1"/>
    </row>
    <row r="32" spans="1:9" x14ac:dyDescent="0.25">
      <c r="A32" s="1"/>
      <c r="B32" s="66"/>
      <c r="C32" s="67"/>
      <c r="D32" s="67"/>
      <c r="E32" s="67"/>
      <c r="F32" s="67"/>
      <c r="G32" s="54"/>
      <c r="H32" s="19"/>
      <c r="I32" s="1"/>
    </row>
    <row r="33" spans="1:9" x14ac:dyDescent="0.25">
      <c r="A33" s="1"/>
      <c r="B33" s="1"/>
      <c r="C33" s="1"/>
      <c r="D33" s="1"/>
      <c r="E33" s="1"/>
      <c r="F33" s="1"/>
      <c r="G33" s="55"/>
      <c r="H33" s="1"/>
      <c r="I33" s="1"/>
    </row>
    <row r="34" spans="1:9" x14ac:dyDescent="0.25">
      <c r="A34" s="1"/>
      <c r="B34" s="118" t="s">
        <v>133</v>
      </c>
      <c r="C34" s="119"/>
      <c r="D34" s="119"/>
      <c r="E34" s="119"/>
      <c r="F34" s="119"/>
      <c r="G34" s="124"/>
      <c r="H34" s="120"/>
      <c r="I34" s="1"/>
    </row>
    <row r="35" spans="1:9" x14ac:dyDescent="0.25">
      <c r="A35" s="1"/>
      <c r="B35" s="121" t="s">
        <v>74</v>
      </c>
      <c r="C35" s="122"/>
      <c r="D35" s="122"/>
      <c r="E35" s="122"/>
      <c r="F35" s="123"/>
      <c r="G35" s="53">
        <f>(G29+G30-G31)*(1+'Fane 13. Nøgletal'!C13)</f>
        <v>3019838.1785945827</v>
      </c>
      <c r="H35" s="14" t="s">
        <v>3</v>
      </c>
      <c r="I35" s="1"/>
    </row>
    <row r="36" spans="1:9" x14ac:dyDescent="0.25">
      <c r="A36" s="1"/>
      <c r="B36" s="121" t="s">
        <v>152</v>
      </c>
      <c r="C36" s="122"/>
      <c r="D36" s="122"/>
      <c r="E36" s="122"/>
      <c r="F36" s="123"/>
      <c r="G36" s="53">
        <f>('Fane 3. Omkostninger i ØR2022'!E10+'Fane 3. Omkostninger i ØR2022'!E12+'Fane 3. Omkostninger i ØR2022'!E14)*(1+'Fane 13. Nøgletal'!C14)</f>
        <v>0</v>
      </c>
      <c r="H36" s="14" t="s">
        <v>3</v>
      </c>
      <c r="I36" s="1"/>
    </row>
    <row r="37" spans="1:9" x14ac:dyDescent="0.25">
      <c r="A37" s="1"/>
      <c r="B37" s="121" t="s">
        <v>134</v>
      </c>
      <c r="C37" s="122"/>
      <c r="D37" s="122"/>
      <c r="E37" s="122"/>
      <c r="F37" s="123"/>
      <c r="G37" s="53">
        <f>(G35+G36)*'Fane 13. Nøgletal'!C31</f>
        <v>60396.763571891657</v>
      </c>
      <c r="H37" s="14" t="s">
        <v>3</v>
      </c>
      <c r="I37" s="1"/>
    </row>
    <row r="38" spans="1:9" x14ac:dyDescent="0.25">
      <c r="A38" s="1"/>
      <c r="B38" s="66"/>
      <c r="C38" s="67"/>
      <c r="D38" s="67"/>
      <c r="E38" s="67"/>
      <c r="F38" s="67"/>
      <c r="G38" s="54"/>
      <c r="H38" s="19"/>
      <c r="I38" s="1"/>
    </row>
    <row r="39" spans="1:9" x14ac:dyDescent="0.25">
      <c r="A39" s="1"/>
      <c r="B39" s="1"/>
      <c r="C39" s="1"/>
      <c r="D39" s="1"/>
      <c r="E39" s="1"/>
      <c r="F39" s="1"/>
      <c r="G39" s="55"/>
      <c r="H39" s="1"/>
      <c r="I39" s="1"/>
    </row>
    <row r="40" spans="1:9" x14ac:dyDescent="0.25">
      <c r="A40" s="1"/>
      <c r="B40" s="118" t="s">
        <v>198</v>
      </c>
      <c r="C40" s="119"/>
      <c r="D40" s="119"/>
      <c r="E40" s="119"/>
      <c r="F40" s="119"/>
      <c r="G40" s="124"/>
      <c r="H40" s="120"/>
      <c r="I40" s="1"/>
    </row>
    <row r="41" spans="1:9" x14ac:dyDescent="0.25">
      <c r="A41" s="1"/>
      <c r="B41" s="121" t="s">
        <v>73</v>
      </c>
      <c r="C41" s="122"/>
      <c r="D41" s="122"/>
      <c r="E41" s="122"/>
      <c r="F41" s="123"/>
      <c r="G41" s="53">
        <f>(G35+G36-G37)*(1+'Fane 13. Nøgletal'!C15)</f>
        <v>3064797.5293974993</v>
      </c>
      <c r="H41" s="14" t="s">
        <v>3</v>
      </c>
      <c r="I41" s="1"/>
    </row>
    <row r="42" spans="1:9" x14ac:dyDescent="0.25">
      <c r="A42" s="1"/>
      <c r="B42" s="121" t="s">
        <v>197</v>
      </c>
      <c r="C42" s="122"/>
      <c r="D42" s="122"/>
      <c r="E42" s="122"/>
      <c r="F42" s="123"/>
      <c r="G42" s="53">
        <f>('Fane 2.1. Økonomisk ramme 2023'!C9+'Fane 2.1. Økonomisk ramme 2023'!C11+'Fane 2.1. Økonomisk ramme 2023'!C13)*(1+'Fane 13. Nøgletal'!C15)</f>
        <v>802957.38489936013</v>
      </c>
      <c r="H42" s="14" t="s">
        <v>3</v>
      </c>
      <c r="I42" s="1"/>
    </row>
    <row r="43" spans="1:9" x14ac:dyDescent="0.25">
      <c r="A43" s="1"/>
      <c r="B43" s="121" t="s">
        <v>208</v>
      </c>
      <c r="C43" s="122"/>
      <c r="D43" s="122"/>
      <c r="E43" s="122"/>
      <c r="F43" s="123"/>
      <c r="G43" s="53">
        <f>(G41+G42)*'Fane 13. Nøgletal'!C31</f>
        <v>77355.098285937187</v>
      </c>
      <c r="H43" s="14" t="s">
        <v>3</v>
      </c>
      <c r="I43" s="1"/>
    </row>
    <row r="44" spans="1:9" x14ac:dyDescent="0.25">
      <c r="A44" s="1"/>
      <c r="B44" s="66"/>
      <c r="C44" s="67"/>
      <c r="D44" s="67"/>
      <c r="E44" s="67"/>
      <c r="F44" s="67"/>
      <c r="G44" s="54"/>
      <c r="H44" s="19"/>
      <c r="I44" s="1"/>
    </row>
    <row r="45" spans="1:9" x14ac:dyDescent="0.25">
      <c r="A45" s="1"/>
      <c r="B45" s="1"/>
      <c r="C45" s="1"/>
      <c r="D45" s="1"/>
      <c r="E45" s="1"/>
      <c r="F45" s="1"/>
      <c r="G45" s="55"/>
      <c r="H45" s="1"/>
      <c r="I45" s="1"/>
    </row>
    <row r="46" spans="1:9" x14ac:dyDescent="0.25">
      <c r="A46" s="1"/>
      <c r="B46" s="118" t="s">
        <v>199</v>
      </c>
      <c r="C46" s="119"/>
      <c r="D46" s="119"/>
      <c r="E46" s="119"/>
      <c r="F46" s="119"/>
      <c r="G46" s="124"/>
      <c r="H46" s="120"/>
      <c r="I46" s="1"/>
    </row>
    <row r="47" spans="1:9" x14ac:dyDescent="0.25">
      <c r="A47" s="1"/>
      <c r="B47" s="121" t="s">
        <v>122</v>
      </c>
      <c r="C47" s="122"/>
      <c r="D47" s="122"/>
      <c r="E47" s="122"/>
      <c r="F47" s="123"/>
      <c r="G47" s="53">
        <f>(G41+G42-G43)*(1+'Fane 13. Nøgletal'!C15)</f>
        <v>3925338.0494609112</v>
      </c>
      <c r="H47" s="14" t="s">
        <v>3</v>
      </c>
      <c r="I47" s="1"/>
    </row>
    <row r="48" spans="1:9" x14ac:dyDescent="0.25">
      <c r="A48" s="1"/>
      <c r="B48" s="121" t="s">
        <v>209</v>
      </c>
      <c r="C48" s="122"/>
      <c r="D48" s="122"/>
      <c r="E48" s="122"/>
      <c r="F48" s="123"/>
      <c r="G48" s="53">
        <f>(G47)*'Fane 13. Nøgletal'!C31</f>
        <v>78506.760989218223</v>
      </c>
      <c r="H48" s="14" t="s">
        <v>3</v>
      </c>
      <c r="I48" s="1"/>
    </row>
    <row r="49" spans="1:9" x14ac:dyDescent="0.25">
      <c r="A49" s="1"/>
      <c r="B49" s="66"/>
      <c r="C49" s="67"/>
      <c r="D49" s="67"/>
      <c r="E49" s="67"/>
      <c r="F49" s="67"/>
      <c r="G49" s="54"/>
      <c r="H49" s="19"/>
      <c r="I49" s="1"/>
    </row>
    <row r="50" spans="1:9" x14ac:dyDescent="0.25">
      <c r="A50" s="1"/>
      <c r="B50" s="1"/>
      <c r="C50" s="1"/>
      <c r="D50" s="1"/>
      <c r="E50" s="1"/>
      <c r="F50" s="1"/>
      <c r="G50" s="55"/>
      <c r="H50" s="1"/>
      <c r="I50" s="1"/>
    </row>
    <row r="51" spans="1:9" x14ac:dyDescent="0.25">
      <c r="A51" s="1"/>
      <c r="B51" s="118" t="s">
        <v>145</v>
      </c>
      <c r="C51" s="119"/>
      <c r="D51" s="119"/>
      <c r="E51" s="119"/>
      <c r="F51" s="119"/>
      <c r="G51" s="124"/>
      <c r="H51" s="120"/>
      <c r="I51" s="1"/>
    </row>
    <row r="52" spans="1:9" x14ac:dyDescent="0.25">
      <c r="A52" s="1"/>
      <c r="B52" s="121" t="s">
        <v>146</v>
      </c>
      <c r="C52" s="122"/>
      <c r="D52" s="122"/>
      <c r="E52" s="122"/>
      <c r="F52" s="123"/>
      <c r="G52" s="53">
        <f>(G47-G48)*(1+'Fane 13. Nøgletal'!C15)</f>
        <v>3983778.4823412858</v>
      </c>
      <c r="H52" s="14" t="s">
        <v>3</v>
      </c>
      <c r="I52" s="1"/>
    </row>
    <row r="53" spans="1:9" x14ac:dyDescent="0.25">
      <c r="A53" s="1"/>
      <c r="B53" s="121" t="s">
        <v>147</v>
      </c>
      <c r="C53" s="122"/>
      <c r="D53" s="122"/>
      <c r="E53" s="122"/>
      <c r="F53" s="123"/>
      <c r="G53" s="53">
        <f>(G52)*'Fane 13. Nøgletal'!C31</f>
        <v>79675.569646825723</v>
      </c>
      <c r="H53" s="14" t="s">
        <v>3</v>
      </c>
      <c r="I53" s="1"/>
    </row>
    <row r="54" spans="1:9" x14ac:dyDescent="0.25">
      <c r="A54" s="1"/>
      <c r="B54" s="66"/>
      <c r="C54" s="67"/>
      <c r="D54" s="67"/>
      <c r="E54" s="67"/>
      <c r="F54" s="67"/>
      <c r="G54" s="54"/>
      <c r="H54" s="19"/>
      <c r="I54" s="1"/>
    </row>
    <row r="55" spans="1:9" x14ac:dyDescent="0.25">
      <c r="A55" s="1"/>
      <c r="B55" s="1"/>
      <c r="C55" s="1"/>
      <c r="D55" s="1"/>
      <c r="E55" s="1"/>
      <c r="F55" s="1"/>
      <c r="G55" s="55"/>
      <c r="H55" s="1"/>
      <c r="I55" s="1"/>
    </row>
    <row r="56" spans="1:9" x14ac:dyDescent="0.25">
      <c r="A56" s="1"/>
      <c r="B56" s="118" t="s">
        <v>174</v>
      </c>
      <c r="C56" s="119"/>
      <c r="D56" s="119"/>
      <c r="E56" s="119"/>
      <c r="F56" s="119"/>
      <c r="G56" s="124"/>
      <c r="H56" s="120"/>
      <c r="I56" s="1"/>
    </row>
    <row r="57" spans="1:9" x14ac:dyDescent="0.25">
      <c r="A57" s="1"/>
      <c r="B57" s="121" t="s">
        <v>175</v>
      </c>
      <c r="C57" s="122"/>
      <c r="D57" s="122"/>
      <c r="E57" s="122"/>
      <c r="F57" s="123"/>
      <c r="G57" s="53">
        <f>(G52-G53)*(1+'Fane 13. Nøgletal'!C15)</f>
        <v>4043088.9763863832</v>
      </c>
      <c r="H57" s="14" t="s">
        <v>3</v>
      </c>
      <c r="I57" s="1"/>
    </row>
    <row r="58" spans="1:9" x14ac:dyDescent="0.25">
      <c r="A58" s="1"/>
      <c r="B58" s="121" t="s">
        <v>176</v>
      </c>
      <c r="C58" s="122"/>
      <c r="D58" s="122"/>
      <c r="E58" s="122"/>
      <c r="F58" s="123"/>
      <c r="G58" s="53">
        <f>(G57)*'Fane 13. Nøgletal'!C31</f>
        <v>80861.77952772766</v>
      </c>
      <c r="H58" s="14" t="s">
        <v>3</v>
      </c>
      <c r="I58" s="1"/>
    </row>
    <row r="59" spans="1:9" x14ac:dyDescent="0.25">
      <c r="A59" s="1"/>
      <c r="B59" s="66"/>
      <c r="C59" s="67"/>
      <c r="D59" s="67"/>
      <c r="E59" s="67"/>
      <c r="F59" s="67"/>
      <c r="G59" s="36"/>
      <c r="H59" s="19"/>
      <c r="I59" s="1"/>
    </row>
    <row r="60" spans="1:9" x14ac:dyDescent="0.25">
      <c r="A60" s="1"/>
      <c r="B60" s="1"/>
      <c r="C60" s="1"/>
      <c r="D60" s="1"/>
      <c r="E60" s="1"/>
      <c r="F60" s="1"/>
      <c r="G60" s="37"/>
      <c r="H60" s="1"/>
      <c r="I60" s="1"/>
    </row>
    <row r="61" spans="1:9" x14ac:dyDescent="0.25">
      <c r="A61" s="1"/>
      <c r="B61" s="1"/>
      <c r="C61" s="1"/>
      <c r="D61" s="1"/>
      <c r="E61" s="1"/>
      <c r="F61" s="1"/>
      <c r="G61" s="37"/>
      <c r="H61" s="1"/>
      <c r="I61" s="1"/>
    </row>
    <row r="62" spans="1:9" x14ac:dyDescent="0.25">
      <c r="A62" s="1"/>
      <c r="B62" s="1"/>
      <c r="C62" s="1"/>
      <c r="D62" s="1"/>
      <c r="E62" s="1"/>
      <c r="F62" s="1"/>
      <c r="G62" s="37"/>
      <c r="H62" s="1"/>
      <c r="I62" s="1"/>
    </row>
    <row r="63" spans="1:9" x14ac:dyDescent="0.25">
      <c r="A63" s="1"/>
      <c r="B63" s="1"/>
      <c r="C63" s="1"/>
      <c r="D63" s="1"/>
      <c r="E63" s="1"/>
      <c r="F63" s="1"/>
      <c r="G63" s="37"/>
      <c r="H63" s="1"/>
      <c r="I63" s="1"/>
    </row>
    <row r="64" spans="1:9" x14ac:dyDescent="0.25">
      <c r="A64" s="1"/>
      <c r="B64" s="1"/>
      <c r="C64" s="1"/>
      <c r="D64" s="1"/>
      <c r="E64" s="1"/>
      <c r="F64" s="1"/>
      <c r="G64" s="37"/>
      <c r="H64" s="1"/>
      <c r="I64" s="1"/>
    </row>
    <row r="65" spans="1:9" x14ac:dyDescent="0.25">
      <c r="A65" s="1"/>
      <c r="B65" s="1"/>
      <c r="C65" s="1"/>
      <c r="D65" s="1"/>
      <c r="E65" s="1"/>
      <c r="F65" s="1"/>
      <c r="G65" s="37"/>
      <c r="H65" s="1"/>
      <c r="I65" s="1"/>
    </row>
  </sheetData>
  <sheetProtection algorithmName="SHA-512" hashValue="ndAxem+6LemtxtNxq9gIJuzkGjA0W5tM1yyEPORcolp2huzVG87ADzH1Yzo6KmIRxxLBfpmMWccks8TSBjATIA==" saltValue="neERyXRq7Nt523E+8/Q2PQ==" spinCount="100000" sheet="1" objects="1" scenarios="1"/>
  <mergeCells count="38">
    <mergeCell ref="B16:F16"/>
    <mergeCell ref="B18:F18"/>
    <mergeCell ref="B17:F17"/>
    <mergeCell ref="B19:F19"/>
    <mergeCell ref="B23:F23"/>
    <mergeCell ref="B15:H15"/>
    <mergeCell ref="B1:H3"/>
    <mergeCell ref="B4:H4"/>
    <mergeCell ref="B5:F5"/>
    <mergeCell ref="B6:F6"/>
    <mergeCell ref="B10:F10"/>
    <mergeCell ref="B9:H9"/>
    <mergeCell ref="B11:F11"/>
    <mergeCell ref="B12:F12"/>
    <mergeCell ref="B25:F25"/>
    <mergeCell ref="B35:F35"/>
    <mergeCell ref="B30:F30"/>
    <mergeCell ref="B31:F31"/>
    <mergeCell ref="B22:H22"/>
    <mergeCell ref="B24:F24"/>
    <mergeCell ref="B28:H28"/>
    <mergeCell ref="B29:F29"/>
    <mergeCell ref="B34:H34"/>
    <mergeCell ref="B36:F36"/>
    <mergeCell ref="B56:H56"/>
    <mergeCell ref="B57:F57"/>
    <mergeCell ref="B47:F47"/>
    <mergeCell ref="B48:F48"/>
    <mergeCell ref="B40:H40"/>
    <mergeCell ref="B41:F41"/>
    <mergeCell ref="B43:F43"/>
    <mergeCell ref="B42:F42"/>
    <mergeCell ref="B58:F58"/>
    <mergeCell ref="B51:H51"/>
    <mergeCell ref="B52:F52"/>
    <mergeCell ref="B53:F53"/>
    <mergeCell ref="B37:F37"/>
    <mergeCell ref="B46:H46"/>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I65"/>
  <sheetViews>
    <sheetView showGridLines="0" view="pageLayout" zoomScaleNormal="120" workbookViewId="0"/>
  </sheetViews>
  <sheetFormatPr defaultColWidth="9" defaultRowHeight="15" x14ac:dyDescent="0.25"/>
  <cols>
    <col min="1" max="1" width="4.28515625" style="2" customWidth="1"/>
    <col min="2" max="5" width="9" style="2"/>
    <col min="6" max="6" width="26.140625" style="2" customWidth="1"/>
    <col min="7" max="7" width="10.28515625" style="2" customWidth="1"/>
    <col min="8" max="8" width="2.85546875" style="2" bestFit="1" customWidth="1"/>
    <col min="9" max="9" width="4.28515625" style="2" customWidth="1"/>
    <col min="10" max="16384" width="9" style="2"/>
  </cols>
  <sheetData>
    <row r="1" spans="1:9" x14ac:dyDescent="0.25">
      <c r="A1" s="1"/>
      <c r="B1" s="128" t="s">
        <v>99</v>
      </c>
      <c r="C1" s="129"/>
      <c r="D1" s="129"/>
      <c r="E1" s="129"/>
      <c r="F1" s="129"/>
      <c r="G1" s="129"/>
      <c r="H1" s="129"/>
      <c r="I1" s="1"/>
    </row>
    <row r="2" spans="1:9" ht="19.899999999999999" customHeight="1" x14ac:dyDescent="0.25">
      <c r="A2" s="1"/>
      <c r="B2" s="129"/>
      <c r="C2" s="129"/>
      <c r="D2" s="129"/>
      <c r="E2" s="129"/>
      <c r="F2" s="129"/>
      <c r="G2" s="129"/>
      <c r="H2" s="129"/>
      <c r="I2" s="1"/>
    </row>
    <row r="3" spans="1:9" ht="15" customHeight="1" x14ac:dyDescent="0.25">
      <c r="A3" s="1"/>
      <c r="B3" s="130"/>
      <c r="C3" s="130"/>
      <c r="D3" s="130"/>
      <c r="E3" s="130"/>
      <c r="F3" s="130"/>
      <c r="G3" s="130"/>
      <c r="H3" s="130"/>
      <c r="I3" s="1"/>
    </row>
    <row r="4" spans="1:9" x14ac:dyDescent="0.25">
      <c r="A4" s="1"/>
      <c r="B4" s="118" t="s">
        <v>53</v>
      </c>
      <c r="C4" s="119"/>
      <c r="D4" s="119"/>
      <c r="E4" s="119"/>
      <c r="F4" s="119"/>
      <c r="G4" s="119"/>
      <c r="H4" s="120"/>
      <c r="I4" s="1"/>
    </row>
    <row r="5" spans="1:9" x14ac:dyDescent="0.25">
      <c r="A5" s="1"/>
      <c r="B5" s="121" t="s">
        <v>56</v>
      </c>
      <c r="C5" s="122"/>
      <c r="D5" s="122"/>
      <c r="E5" s="122"/>
      <c r="F5" s="123"/>
      <c r="G5" s="53">
        <v>2475756.0547162858</v>
      </c>
      <c r="H5" s="14" t="s">
        <v>3</v>
      </c>
      <c r="I5" s="1"/>
    </row>
    <row r="6" spans="1:9" x14ac:dyDescent="0.25">
      <c r="A6" s="1"/>
      <c r="B6" s="121" t="s">
        <v>54</v>
      </c>
      <c r="C6" s="122"/>
      <c r="D6" s="122"/>
      <c r="E6" s="122"/>
      <c r="F6" s="123"/>
      <c r="G6" s="53">
        <f>G5*'Fane 13. Nøgletal'!C20</f>
        <v>22529.380097918201</v>
      </c>
      <c r="H6" s="14" t="s">
        <v>3</v>
      </c>
      <c r="I6" s="1"/>
    </row>
    <row r="7" spans="1:9" x14ac:dyDescent="0.25">
      <c r="A7" s="1"/>
      <c r="B7" s="66"/>
      <c r="C7" s="67"/>
      <c r="D7" s="67"/>
      <c r="E7" s="67"/>
      <c r="F7" s="67"/>
      <c r="G7" s="56"/>
      <c r="H7" s="19"/>
      <c r="I7" s="1"/>
    </row>
    <row r="8" spans="1:9" x14ac:dyDescent="0.25">
      <c r="A8" s="1"/>
      <c r="B8" s="1"/>
      <c r="C8" s="1"/>
      <c r="D8" s="1"/>
      <c r="E8" s="1"/>
      <c r="F8" s="1"/>
      <c r="G8" s="57"/>
      <c r="H8" s="1"/>
      <c r="I8" s="1"/>
    </row>
    <row r="9" spans="1:9" x14ac:dyDescent="0.25">
      <c r="A9" s="1"/>
      <c r="B9" s="118" t="s">
        <v>57</v>
      </c>
      <c r="C9" s="119"/>
      <c r="D9" s="119"/>
      <c r="E9" s="119"/>
      <c r="F9" s="119"/>
      <c r="G9" s="124"/>
      <c r="H9" s="120"/>
      <c r="I9" s="1"/>
    </row>
    <row r="10" spans="1:9" x14ac:dyDescent="0.25">
      <c r="A10" s="1"/>
      <c r="B10" s="121" t="s">
        <v>58</v>
      </c>
      <c r="C10" s="122"/>
      <c r="D10" s="122"/>
      <c r="E10" s="122"/>
      <c r="F10" s="123"/>
      <c r="G10" s="53">
        <f>(G5-G6)*(1+'Fane 13. Nøgletal'!C9)</f>
        <v>2484382.6533860206</v>
      </c>
      <c r="H10" s="14" t="s">
        <v>3</v>
      </c>
      <c r="I10" s="1"/>
    </row>
    <row r="11" spans="1:9" x14ac:dyDescent="0.25">
      <c r="A11" s="1"/>
      <c r="B11" s="125" t="s">
        <v>59</v>
      </c>
      <c r="C11" s="126"/>
      <c r="D11" s="126"/>
      <c r="E11" s="126"/>
      <c r="F11" s="127"/>
      <c r="G11" s="58">
        <v>0</v>
      </c>
      <c r="H11" s="14" t="s">
        <v>3</v>
      </c>
      <c r="I11" s="1"/>
    </row>
    <row r="12" spans="1:9" x14ac:dyDescent="0.25">
      <c r="A12" s="1"/>
      <c r="B12" s="121" t="s">
        <v>60</v>
      </c>
      <c r="C12" s="122"/>
      <c r="D12" s="122"/>
      <c r="E12" s="122"/>
      <c r="F12" s="123"/>
      <c r="G12" s="53">
        <f>G10*'Fane 13. Nøgletal'!C20+G11*'Fane 13. Nøgletal'!C21</f>
        <v>22607.88214581279</v>
      </c>
      <c r="H12" s="14" t="s">
        <v>3</v>
      </c>
      <c r="I12" s="1"/>
    </row>
    <row r="13" spans="1:9" x14ac:dyDescent="0.25">
      <c r="A13" s="1"/>
      <c r="B13" s="66"/>
      <c r="C13" s="67"/>
      <c r="D13" s="67"/>
      <c r="E13" s="67"/>
      <c r="F13" s="67"/>
      <c r="G13" s="56"/>
      <c r="H13" s="19"/>
      <c r="I13" s="1"/>
    </row>
    <row r="14" spans="1:9" x14ac:dyDescent="0.25">
      <c r="A14" s="1"/>
      <c r="B14" s="1"/>
      <c r="C14" s="1"/>
      <c r="D14" s="1"/>
      <c r="E14" s="1"/>
      <c r="F14" s="1"/>
      <c r="G14" s="57"/>
      <c r="H14" s="1"/>
      <c r="I14" s="1"/>
    </row>
    <row r="15" spans="1:9" x14ac:dyDescent="0.25">
      <c r="A15" s="1"/>
      <c r="B15" s="118" t="s">
        <v>61</v>
      </c>
      <c r="C15" s="119"/>
      <c r="D15" s="119"/>
      <c r="E15" s="119"/>
      <c r="F15" s="119"/>
      <c r="G15" s="124"/>
      <c r="H15" s="120"/>
      <c r="I15" s="1"/>
    </row>
    <row r="16" spans="1:9" x14ac:dyDescent="0.25">
      <c r="A16" s="1"/>
      <c r="B16" s="121" t="s">
        <v>62</v>
      </c>
      <c r="C16" s="122"/>
      <c r="D16" s="122"/>
      <c r="E16" s="122"/>
      <c r="F16" s="123"/>
      <c r="G16" s="53">
        <f>(G10+G11-G12)*(1+'Fane 13. Nøgletal'!C11)</f>
        <v>2503378.7648741673</v>
      </c>
      <c r="H16" s="14" t="s">
        <v>3</v>
      </c>
      <c r="I16" s="1"/>
    </row>
    <row r="17" spans="1:9" x14ac:dyDescent="0.25">
      <c r="A17" s="1"/>
      <c r="B17" s="121" t="s">
        <v>109</v>
      </c>
      <c r="C17" s="122"/>
      <c r="D17" s="122"/>
      <c r="E17" s="122"/>
      <c r="F17" s="123"/>
      <c r="G17" s="53">
        <v>8861.6676455542656</v>
      </c>
      <c r="H17" s="14" t="s">
        <v>3</v>
      </c>
      <c r="I17" s="1"/>
    </row>
    <row r="18" spans="1:9" x14ac:dyDescent="0.25">
      <c r="A18" s="1"/>
      <c r="B18" s="125" t="s">
        <v>63</v>
      </c>
      <c r="C18" s="126"/>
      <c r="D18" s="126"/>
      <c r="E18" s="126"/>
      <c r="F18" s="127"/>
      <c r="G18" s="53">
        <v>0</v>
      </c>
      <c r="H18" s="14" t="s">
        <v>3</v>
      </c>
      <c r="I18" s="1"/>
    </row>
    <row r="19" spans="1:9" x14ac:dyDescent="0.25">
      <c r="A19" s="1"/>
      <c r="B19" s="121" t="s">
        <v>64</v>
      </c>
      <c r="C19" s="122"/>
      <c r="D19" s="122"/>
      <c r="E19" s="122"/>
      <c r="F19" s="123"/>
      <c r="G19" s="53">
        <f>(G16+G17+G18)*'Fane 13. Nøgletal'!C22</f>
        <v>21856.491762921574</v>
      </c>
      <c r="H19" s="14" t="s">
        <v>3</v>
      </c>
      <c r="I19" s="1"/>
    </row>
    <row r="20" spans="1:9" x14ac:dyDescent="0.25">
      <c r="A20" s="1"/>
      <c r="B20" s="66"/>
      <c r="C20" s="67"/>
      <c r="D20" s="67"/>
      <c r="E20" s="67"/>
      <c r="F20" s="67"/>
      <c r="G20" s="56"/>
      <c r="H20" s="19"/>
      <c r="I20" s="1"/>
    </row>
    <row r="21" spans="1:9" x14ac:dyDescent="0.25">
      <c r="A21" s="1"/>
      <c r="B21" s="1"/>
      <c r="C21" s="1"/>
      <c r="D21" s="1"/>
      <c r="E21" s="1"/>
      <c r="F21" s="1"/>
      <c r="G21" s="57"/>
      <c r="H21" s="1"/>
      <c r="I21" s="1"/>
    </row>
    <row r="22" spans="1:9" x14ac:dyDescent="0.25">
      <c r="A22" s="1"/>
      <c r="B22" s="118" t="s">
        <v>65</v>
      </c>
      <c r="C22" s="119"/>
      <c r="D22" s="119"/>
      <c r="E22" s="119"/>
      <c r="F22" s="119"/>
      <c r="G22" s="124"/>
      <c r="H22" s="120"/>
      <c r="I22" s="1"/>
    </row>
    <row r="23" spans="1:9" x14ac:dyDescent="0.25">
      <c r="A23" s="1"/>
      <c r="B23" s="121" t="s">
        <v>66</v>
      </c>
      <c r="C23" s="122"/>
      <c r="D23" s="122"/>
      <c r="E23" s="122"/>
      <c r="F23" s="123"/>
      <c r="G23" s="53">
        <f>(SUM(G16:G18)-G19)*(1+'Fane 13. Nøgletal'!C11)</f>
        <v>2532471.4293555892</v>
      </c>
      <c r="H23" s="14" t="s">
        <v>3</v>
      </c>
      <c r="I23" s="1"/>
    </row>
    <row r="24" spans="1:9" x14ac:dyDescent="0.25">
      <c r="A24" s="1"/>
      <c r="B24" s="125" t="s">
        <v>67</v>
      </c>
      <c r="C24" s="126"/>
      <c r="D24" s="126"/>
      <c r="E24" s="126"/>
      <c r="F24" s="127"/>
      <c r="G24" s="53">
        <v>0</v>
      </c>
      <c r="H24" s="14" t="s">
        <v>3</v>
      </c>
      <c r="I24" s="1"/>
    </row>
    <row r="25" spans="1:9" x14ac:dyDescent="0.25">
      <c r="A25" s="1"/>
      <c r="B25" s="121" t="s">
        <v>68</v>
      </c>
      <c r="C25" s="122"/>
      <c r="D25" s="122"/>
      <c r="E25" s="122"/>
      <c r="F25" s="123"/>
      <c r="G25" s="53">
        <f>G23*'Fane 13. Nøgletal'!C22+G24*'Fane 13. Nøgletal'!C23</f>
        <v>22032.501435393624</v>
      </c>
      <c r="H25" s="14" t="s">
        <v>3</v>
      </c>
      <c r="I25" s="1"/>
    </row>
    <row r="26" spans="1:9" x14ac:dyDescent="0.25">
      <c r="A26" s="1"/>
      <c r="B26" s="66"/>
      <c r="C26" s="67"/>
      <c r="D26" s="67"/>
      <c r="E26" s="67"/>
      <c r="F26" s="67"/>
      <c r="G26" s="56"/>
      <c r="H26" s="19"/>
      <c r="I26" s="1"/>
    </row>
    <row r="27" spans="1:9" x14ac:dyDescent="0.25">
      <c r="A27" s="1"/>
      <c r="B27" s="1"/>
      <c r="C27" s="1"/>
      <c r="D27" s="1"/>
      <c r="E27" s="1"/>
      <c r="F27" s="1"/>
      <c r="G27" s="57"/>
      <c r="H27" s="1"/>
      <c r="I27" s="1"/>
    </row>
    <row r="28" spans="1:9" x14ac:dyDescent="0.25">
      <c r="A28" s="1"/>
      <c r="B28" s="118" t="s">
        <v>130</v>
      </c>
      <c r="C28" s="119"/>
      <c r="D28" s="119"/>
      <c r="E28" s="119"/>
      <c r="F28" s="119"/>
      <c r="G28" s="124"/>
      <c r="H28" s="120"/>
      <c r="I28" s="1"/>
    </row>
    <row r="29" spans="1:9" x14ac:dyDescent="0.25">
      <c r="A29" s="1"/>
      <c r="B29" s="121" t="s">
        <v>69</v>
      </c>
      <c r="C29" s="122"/>
      <c r="D29" s="122"/>
      <c r="E29" s="122"/>
      <c r="F29" s="123"/>
      <c r="G29" s="53">
        <f>(G23+G24-G25)*(1+'Fane 13. Nøgletal'!C13)</f>
        <v>2541066.2828408219</v>
      </c>
      <c r="H29" s="14" t="s">
        <v>3</v>
      </c>
      <c r="I29" s="1"/>
    </row>
    <row r="30" spans="1:9" x14ac:dyDescent="0.25">
      <c r="A30" s="1"/>
      <c r="B30" s="121" t="s">
        <v>123</v>
      </c>
      <c r="C30" s="122"/>
      <c r="D30" s="122"/>
      <c r="E30" s="122"/>
      <c r="F30" s="123"/>
      <c r="G30" s="53">
        <v>0</v>
      </c>
      <c r="H30" s="14" t="s">
        <v>3</v>
      </c>
      <c r="I30" s="1"/>
    </row>
    <row r="31" spans="1:9" x14ac:dyDescent="0.25">
      <c r="A31" s="1"/>
      <c r="B31" s="121" t="s">
        <v>131</v>
      </c>
      <c r="C31" s="122"/>
      <c r="D31" s="122"/>
      <c r="E31" s="122"/>
      <c r="F31" s="123"/>
      <c r="G31" s="53">
        <f>(G29+G30)*'Fane 13. Nøgletal'!C24</f>
        <v>69879.322778122601</v>
      </c>
      <c r="H31" s="14" t="s">
        <v>3</v>
      </c>
      <c r="I31" s="1"/>
    </row>
    <row r="32" spans="1:9" x14ac:dyDescent="0.25">
      <c r="A32" s="1"/>
      <c r="B32" s="66"/>
      <c r="C32" s="67"/>
      <c r="D32" s="67"/>
      <c r="E32" s="67"/>
      <c r="F32" s="67"/>
      <c r="G32" s="56"/>
      <c r="H32" s="19"/>
      <c r="I32" s="1"/>
    </row>
    <row r="33" spans="1:9" x14ac:dyDescent="0.25">
      <c r="A33" s="1"/>
      <c r="B33" s="1"/>
      <c r="C33" s="1"/>
      <c r="D33" s="1"/>
      <c r="E33" s="1"/>
      <c r="F33" s="1"/>
      <c r="G33" s="57"/>
      <c r="H33" s="1"/>
      <c r="I33" s="1"/>
    </row>
    <row r="34" spans="1:9" x14ac:dyDescent="0.25">
      <c r="A34" s="1"/>
      <c r="B34" s="118" t="s">
        <v>135</v>
      </c>
      <c r="C34" s="119"/>
      <c r="D34" s="119"/>
      <c r="E34" s="119"/>
      <c r="F34" s="119"/>
      <c r="G34" s="124"/>
      <c r="H34" s="120"/>
      <c r="I34" s="1"/>
    </row>
    <row r="35" spans="1:9" x14ac:dyDescent="0.25">
      <c r="A35" s="1"/>
      <c r="B35" s="121" t="s">
        <v>72</v>
      </c>
      <c r="C35" s="122"/>
      <c r="D35" s="122"/>
      <c r="E35" s="122"/>
      <c r="F35" s="123"/>
      <c r="G35" s="53">
        <f>(G29+G30-G31)*(1+'Fane 13. Nøgletal'!C13)</f>
        <v>2501335.4409754644</v>
      </c>
      <c r="H35" s="14" t="s">
        <v>3</v>
      </c>
      <c r="I35" s="1"/>
    </row>
    <row r="36" spans="1:9" x14ac:dyDescent="0.25">
      <c r="A36" s="1"/>
      <c r="B36" s="121" t="s">
        <v>141</v>
      </c>
      <c r="C36" s="122"/>
      <c r="D36" s="122"/>
      <c r="E36" s="122"/>
      <c r="F36" s="123"/>
      <c r="G36" s="53">
        <f>SUM('Fane 3. Omkostninger i ØR2022'!E11)*(1+'Fane 13. Nøgletal'!C14)</f>
        <v>0</v>
      </c>
      <c r="H36" s="14" t="s">
        <v>3</v>
      </c>
      <c r="I36" s="1"/>
    </row>
    <row r="37" spans="1:9" x14ac:dyDescent="0.25">
      <c r="A37" s="1"/>
      <c r="B37" s="121" t="s">
        <v>136</v>
      </c>
      <c r="C37" s="122"/>
      <c r="D37" s="122"/>
      <c r="E37" s="122"/>
      <c r="F37" s="123"/>
      <c r="G37" s="53">
        <f>G35*'Fane 13. Nøgletal'!C24+G36*'Fane 13. Nøgletal'!C25</f>
        <v>68786.724626825278</v>
      </c>
      <c r="H37" s="14" t="s">
        <v>3</v>
      </c>
      <c r="I37" s="1"/>
    </row>
    <row r="38" spans="1:9" x14ac:dyDescent="0.25">
      <c r="A38" s="1"/>
      <c r="B38" s="66"/>
      <c r="C38" s="67"/>
      <c r="D38" s="67"/>
      <c r="E38" s="67"/>
      <c r="F38" s="67"/>
      <c r="G38" s="56"/>
      <c r="H38" s="19"/>
      <c r="I38" s="1"/>
    </row>
    <row r="39" spans="1:9" x14ac:dyDescent="0.25">
      <c r="A39" s="1"/>
      <c r="B39" s="1"/>
      <c r="C39" s="1"/>
      <c r="D39" s="1"/>
      <c r="E39" s="1"/>
      <c r="F39" s="1"/>
      <c r="G39" s="57"/>
      <c r="H39" s="1"/>
      <c r="I39" s="1"/>
    </row>
    <row r="40" spans="1:9" x14ac:dyDescent="0.25">
      <c r="A40" s="1"/>
      <c r="B40" s="118" t="s">
        <v>200</v>
      </c>
      <c r="C40" s="119"/>
      <c r="D40" s="119"/>
      <c r="E40" s="119"/>
      <c r="F40" s="119"/>
      <c r="G40" s="124"/>
      <c r="H40" s="120"/>
      <c r="I40" s="1"/>
    </row>
    <row r="41" spans="1:9" x14ac:dyDescent="0.25">
      <c r="A41" s="1"/>
      <c r="B41" s="121" t="s">
        <v>71</v>
      </c>
      <c r="C41" s="122"/>
      <c r="D41" s="122"/>
      <c r="E41" s="122"/>
      <c r="F41" s="123"/>
      <c r="G41" s="53">
        <f>(G35+G36-G37)*(1+'Fane 13. Nøgletal'!C15)</f>
        <v>2519147.450650651</v>
      </c>
      <c r="H41" s="14" t="s">
        <v>3</v>
      </c>
      <c r="I41" s="1"/>
    </row>
    <row r="42" spans="1:9" x14ac:dyDescent="0.25">
      <c r="A42" s="1"/>
      <c r="B42" s="121" t="s">
        <v>211</v>
      </c>
      <c r="C42" s="122"/>
      <c r="D42" s="122"/>
      <c r="E42" s="122"/>
      <c r="F42" s="123"/>
      <c r="G42" s="58">
        <f>SUM('Fane 2.1. Økonomisk ramme 2023'!C10+'Fane 2.1. Økonomisk ramme 2023'!C12+'Fane 2.1. Økonomisk ramme 2023'!C14)*(1+'Fane 13. Nøgletal'!C15)</f>
        <v>0</v>
      </c>
      <c r="H42" s="14" t="s">
        <v>3</v>
      </c>
      <c r="I42" s="1"/>
    </row>
    <row r="43" spans="1:9" x14ac:dyDescent="0.25">
      <c r="A43" s="1"/>
      <c r="B43" s="121" t="s">
        <v>70</v>
      </c>
      <c r="C43" s="122"/>
      <c r="D43" s="122"/>
      <c r="E43" s="122"/>
      <c r="F43" s="123"/>
      <c r="G43" s="53">
        <f>(G41+G42)*'Fane 13. Nøgletal'!C26</f>
        <v>0</v>
      </c>
      <c r="H43" s="14" t="s">
        <v>3</v>
      </c>
      <c r="I43" s="1"/>
    </row>
    <row r="44" spans="1:9" x14ac:dyDescent="0.25">
      <c r="A44" s="1"/>
      <c r="B44" s="66"/>
      <c r="C44" s="67"/>
      <c r="D44" s="67"/>
      <c r="E44" s="67"/>
      <c r="F44" s="67"/>
      <c r="G44" s="56"/>
      <c r="H44" s="19"/>
      <c r="I44" s="1"/>
    </row>
    <row r="45" spans="1:9" ht="12" customHeight="1" x14ac:dyDescent="0.25">
      <c r="A45" s="1"/>
      <c r="B45" s="1"/>
      <c r="C45" s="1"/>
      <c r="D45" s="1"/>
      <c r="E45" s="1"/>
      <c r="F45" s="1"/>
      <c r="G45" s="57"/>
      <c r="H45" s="1"/>
      <c r="I45" s="1"/>
    </row>
    <row r="46" spans="1:9" x14ac:dyDescent="0.25">
      <c r="A46" s="1"/>
      <c r="B46" s="118" t="s">
        <v>201</v>
      </c>
      <c r="C46" s="119"/>
      <c r="D46" s="119"/>
      <c r="E46" s="119"/>
      <c r="F46" s="119"/>
      <c r="G46" s="124"/>
      <c r="H46" s="120"/>
      <c r="I46" s="1"/>
    </row>
    <row r="47" spans="1:9" x14ac:dyDescent="0.25">
      <c r="A47" s="1"/>
      <c r="B47" s="121" t="s">
        <v>124</v>
      </c>
      <c r="C47" s="122"/>
      <c r="D47" s="122"/>
      <c r="E47" s="122"/>
      <c r="F47" s="123"/>
      <c r="G47" s="53">
        <f>(G41+G42-G43)*(1+'Fane 13. Nøgletal'!C15)</f>
        <v>2608829.0998938144</v>
      </c>
      <c r="H47" s="14" t="s">
        <v>3</v>
      </c>
      <c r="I47" s="1"/>
    </row>
    <row r="48" spans="1:9" x14ac:dyDescent="0.25">
      <c r="A48" s="1"/>
      <c r="B48" s="121" t="s">
        <v>125</v>
      </c>
      <c r="C48" s="122"/>
      <c r="D48" s="122"/>
      <c r="E48" s="122"/>
      <c r="F48" s="123"/>
      <c r="G48" s="53">
        <f>(G47)*'Fane 13. Nøgletal'!C26</f>
        <v>0</v>
      </c>
      <c r="H48" s="14" t="s">
        <v>3</v>
      </c>
      <c r="I48" s="1"/>
    </row>
    <row r="49" spans="1:9" x14ac:dyDescent="0.25">
      <c r="A49" s="1"/>
      <c r="B49" s="66"/>
      <c r="C49" s="67"/>
      <c r="D49" s="67"/>
      <c r="E49" s="67"/>
      <c r="F49" s="67"/>
      <c r="G49" s="56"/>
      <c r="H49" s="19"/>
      <c r="I49" s="1"/>
    </row>
    <row r="50" spans="1:9" x14ac:dyDescent="0.25">
      <c r="A50" s="1"/>
      <c r="B50" s="1"/>
      <c r="C50" s="1"/>
      <c r="D50" s="1"/>
      <c r="E50" s="1"/>
      <c r="F50" s="1"/>
      <c r="G50" s="57"/>
      <c r="H50" s="1"/>
      <c r="I50" s="1"/>
    </row>
    <row r="51" spans="1:9" x14ac:dyDescent="0.25">
      <c r="A51" s="1"/>
      <c r="B51" s="118" t="s">
        <v>142</v>
      </c>
      <c r="C51" s="119"/>
      <c r="D51" s="119"/>
      <c r="E51" s="119"/>
      <c r="F51" s="119"/>
      <c r="G51" s="124"/>
      <c r="H51" s="120"/>
      <c r="I51" s="1"/>
    </row>
    <row r="52" spans="1:9" x14ac:dyDescent="0.25">
      <c r="A52" s="1"/>
      <c r="B52" s="121" t="s">
        <v>143</v>
      </c>
      <c r="C52" s="122"/>
      <c r="D52" s="122"/>
      <c r="E52" s="122"/>
      <c r="F52" s="123"/>
      <c r="G52" s="53">
        <f>(G47-G48)*(1+'Fane 13. Nøgletal'!C15)</f>
        <v>2701703.4158500344</v>
      </c>
      <c r="H52" s="14" t="s">
        <v>3</v>
      </c>
      <c r="I52" s="1"/>
    </row>
    <row r="53" spans="1:9" x14ac:dyDescent="0.25">
      <c r="A53" s="1"/>
      <c r="B53" s="121" t="s">
        <v>144</v>
      </c>
      <c r="C53" s="122"/>
      <c r="D53" s="122"/>
      <c r="E53" s="122"/>
      <c r="F53" s="123"/>
      <c r="G53" s="53">
        <f>(G52)*'Fane 13. Nøgletal'!C26</f>
        <v>0</v>
      </c>
      <c r="H53" s="14" t="s">
        <v>3</v>
      </c>
      <c r="I53" s="1"/>
    </row>
    <row r="54" spans="1:9" x14ac:dyDescent="0.25">
      <c r="A54" s="1"/>
      <c r="B54" s="66"/>
      <c r="C54" s="67"/>
      <c r="D54" s="67"/>
      <c r="E54" s="67"/>
      <c r="F54" s="67"/>
      <c r="G54" s="56"/>
      <c r="H54" s="19"/>
      <c r="I54" s="1"/>
    </row>
    <row r="55" spans="1:9" x14ac:dyDescent="0.25">
      <c r="A55" s="1"/>
      <c r="B55" s="1"/>
      <c r="C55" s="1"/>
      <c r="D55" s="1"/>
      <c r="E55" s="1"/>
      <c r="F55" s="1"/>
      <c r="G55" s="57"/>
      <c r="H55" s="1"/>
      <c r="I55" s="1"/>
    </row>
    <row r="56" spans="1:9" x14ac:dyDescent="0.25">
      <c r="A56" s="1"/>
      <c r="B56" s="118" t="s">
        <v>177</v>
      </c>
      <c r="C56" s="119"/>
      <c r="D56" s="119"/>
      <c r="E56" s="119"/>
      <c r="F56" s="119"/>
      <c r="G56" s="124"/>
      <c r="H56" s="120"/>
      <c r="I56" s="1"/>
    </row>
    <row r="57" spans="1:9" x14ac:dyDescent="0.25">
      <c r="A57" s="1"/>
      <c r="B57" s="121" t="s">
        <v>178</v>
      </c>
      <c r="C57" s="122"/>
      <c r="D57" s="122"/>
      <c r="E57" s="122"/>
      <c r="F57" s="123"/>
      <c r="G57" s="53">
        <f>(G52-G53)*(1+'Fane 13. Nøgletal'!C15)</f>
        <v>2797884.0574542959</v>
      </c>
      <c r="H57" s="14" t="s">
        <v>3</v>
      </c>
      <c r="I57" s="1"/>
    </row>
    <row r="58" spans="1:9" x14ac:dyDescent="0.25">
      <c r="A58" s="1"/>
      <c r="B58" s="121" t="s">
        <v>179</v>
      </c>
      <c r="C58" s="122"/>
      <c r="D58" s="122"/>
      <c r="E58" s="122"/>
      <c r="F58" s="123"/>
      <c r="G58" s="53">
        <f>(G57)*'Fane 13. Nøgletal'!C26</f>
        <v>0</v>
      </c>
      <c r="H58" s="14" t="s">
        <v>3</v>
      </c>
      <c r="I58" s="1"/>
    </row>
    <row r="59" spans="1:9" x14ac:dyDescent="0.25">
      <c r="A59" s="1"/>
      <c r="B59" s="66"/>
      <c r="C59" s="67"/>
      <c r="D59" s="67"/>
      <c r="E59" s="67"/>
      <c r="F59" s="67"/>
      <c r="G59" s="67"/>
      <c r="H59" s="19"/>
      <c r="I59" s="1"/>
    </row>
    <row r="60" spans="1:9" x14ac:dyDescent="0.25">
      <c r="A60" s="1"/>
      <c r="B60" s="1"/>
      <c r="C60" s="1"/>
      <c r="D60" s="1"/>
      <c r="E60" s="1"/>
      <c r="F60" s="1"/>
      <c r="G60" s="1"/>
      <c r="H60" s="1"/>
      <c r="I60" s="1"/>
    </row>
    <row r="61" spans="1:9" x14ac:dyDescent="0.25">
      <c r="A61" s="1"/>
      <c r="B61" s="1"/>
      <c r="C61" s="1"/>
      <c r="D61" s="1"/>
      <c r="E61" s="1"/>
      <c r="F61" s="1"/>
      <c r="G61" s="1"/>
      <c r="H61" s="1"/>
      <c r="I61" s="1"/>
    </row>
    <row r="62" spans="1:9" x14ac:dyDescent="0.25">
      <c r="A62" s="1"/>
      <c r="B62" s="1"/>
      <c r="C62" s="1"/>
      <c r="D62" s="1"/>
      <c r="E62" s="1"/>
      <c r="F62" s="1"/>
      <c r="G62" s="1"/>
      <c r="H62" s="1"/>
      <c r="I62" s="1"/>
    </row>
    <row r="63" spans="1:9" x14ac:dyDescent="0.25">
      <c r="A63" s="1"/>
      <c r="B63" s="1"/>
      <c r="C63" s="1"/>
      <c r="D63" s="1"/>
      <c r="E63" s="1"/>
      <c r="F63" s="1"/>
      <c r="G63" s="1"/>
      <c r="H63" s="1"/>
      <c r="I63" s="1"/>
    </row>
    <row r="64" spans="1:9" x14ac:dyDescent="0.25">
      <c r="A64" s="1"/>
      <c r="B64" s="1"/>
      <c r="C64" s="1"/>
      <c r="D64" s="1"/>
      <c r="E64" s="1"/>
      <c r="F64" s="1"/>
      <c r="G64" s="1"/>
      <c r="H64" s="1"/>
      <c r="I64" s="1"/>
    </row>
    <row r="65" spans="1:9" x14ac:dyDescent="0.25">
      <c r="A65" s="1"/>
      <c r="B65" s="1"/>
      <c r="C65" s="1"/>
      <c r="D65" s="1"/>
      <c r="E65" s="1"/>
      <c r="F65" s="1"/>
      <c r="G65" s="1"/>
      <c r="H65" s="1"/>
      <c r="I65" s="1"/>
    </row>
  </sheetData>
  <sheetProtection algorithmName="SHA-512" hashValue="VzSJk01Ef3XOLC3xerXlKIPpOJyixz1EvM15jvG3w/KKzLzWkbgTWFDbeZF3vc3sFSkCsvW6FBhDySaaDRdI4g==" saltValue="SClIFVs2ttqFpTbNWskmZg==" spinCount="100000" sheet="1" objects="1" scenarios="1"/>
  <mergeCells count="38">
    <mergeCell ref="B47:F47"/>
    <mergeCell ref="B48:F48"/>
    <mergeCell ref="B36:F36"/>
    <mergeCell ref="B42:F42"/>
    <mergeCell ref="B41:F41"/>
    <mergeCell ref="B40:H40"/>
    <mergeCell ref="B37:F37"/>
    <mergeCell ref="B46:H46"/>
    <mergeCell ref="B28:H28"/>
    <mergeCell ref="B29:F29"/>
    <mergeCell ref="B31:F31"/>
    <mergeCell ref="B34:H34"/>
    <mergeCell ref="B12:F12"/>
    <mergeCell ref="B15:H15"/>
    <mergeCell ref="B16:F16"/>
    <mergeCell ref="B18:F18"/>
    <mergeCell ref="B30:F30"/>
    <mergeCell ref="B17:F17"/>
    <mergeCell ref="B22:H22"/>
    <mergeCell ref="B23:F23"/>
    <mergeCell ref="B24:F24"/>
    <mergeCell ref="B25:F25"/>
    <mergeCell ref="B56:H56"/>
    <mergeCell ref="B57:F57"/>
    <mergeCell ref="B58:F58"/>
    <mergeCell ref="B1:H3"/>
    <mergeCell ref="B51:H51"/>
    <mergeCell ref="B52:F52"/>
    <mergeCell ref="B53:F53"/>
    <mergeCell ref="B35:F35"/>
    <mergeCell ref="B43:F43"/>
    <mergeCell ref="B19:F19"/>
    <mergeCell ref="B4:H4"/>
    <mergeCell ref="B5:F5"/>
    <mergeCell ref="B6:F6"/>
    <mergeCell ref="B9:H9"/>
    <mergeCell ref="B10:F10"/>
    <mergeCell ref="B11:F11"/>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H47"/>
  <sheetViews>
    <sheetView showGridLines="0" view="pageLayout" zoomScaleNormal="100" workbookViewId="0"/>
  </sheetViews>
  <sheetFormatPr defaultColWidth="9" defaultRowHeight="15" x14ac:dyDescent="0.25"/>
  <cols>
    <col min="1" max="1" width="7.85546875" style="2" customWidth="1"/>
    <col min="2" max="5" width="9" style="2"/>
    <col min="6" max="6" width="19.85546875" style="2" customWidth="1"/>
    <col min="7" max="7" width="10.28515625" style="2" customWidth="1"/>
    <col min="8" max="8" width="7.85546875" style="2" customWidth="1"/>
    <col min="9" max="16384" width="9"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95" t="s">
        <v>82</v>
      </c>
      <c r="C3" s="95"/>
      <c r="D3" s="95"/>
      <c r="E3" s="95"/>
      <c r="F3" s="95"/>
      <c r="G3" s="95"/>
      <c r="H3" s="1"/>
    </row>
    <row r="4" spans="1:8" ht="15" customHeight="1" x14ac:dyDescent="0.25">
      <c r="A4" s="1"/>
      <c r="B4" s="95"/>
      <c r="C4" s="95"/>
      <c r="D4" s="95"/>
      <c r="E4" s="95"/>
      <c r="F4" s="95"/>
      <c r="G4" s="95"/>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18" t="s">
        <v>9</v>
      </c>
      <c r="C8" s="119"/>
      <c r="D8" s="119"/>
      <c r="E8" s="119"/>
      <c r="F8" s="119"/>
      <c r="G8" s="119"/>
      <c r="H8" s="1"/>
    </row>
    <row r="9" spans="1:8" x14ac:dyDescent="0.25">
      <c r="A9" s="1"/>
      <c r="B9" s="71" t="s">
        <v>180</v>
      </c>
      <c r="C9" s="72"/>
      <c r="D9" s="72"/>
      <c r="E9" s="72"/>
      <c r="F9" s="73"/>
      <c r="G9" s="27">
        <v>4.9724509775119167E-3</v>
      </c>
      <c r="H9" s="1"/>
    </row>
    <row r="10" spans="1:8" x14ac:dyDescent="0.25">
      <c r="A10" s="1"/>
      <c r="B10" s="66"/>
      <c r="C10" s="67"/>
      <c r="D10" s="67"/>
      <c r="E10" s="67"/>
      <c r="F10" s="67"/>
      <c r="G10" s="67"/>
      <c r="H10" s="1"/>
    </row>
    <row r="11" spans="1:8" x14ac:dyDescent="0.25">
      <c r="A11" s="1"/>
      <c r="B11" s="1"/>
      <c r="C11" s="1"/>
      <c r="D11" s="1"/>
      <c r="E11" s="1"/>
      <c r="F11" s="1"/>
      <c r="G11" s="1"/>
      <c r="H11" s="1"/>
    </row>
    <row r="12" spans="1:8" ht="31.5" customHeight="1" x14ac:dyDescent="0.25">
      <c r="A12" s="1"/>
      <c r="B12" s="131" t="s">
        <v>202</v>
      </c>
      <c r="C12" s="131"/>
      <c r="D12" s="131"/>
      <c r="E12" s="131"/>
      <c r="F12" s="131"/>
      <c r="G12" s="13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sheetData>
  <sheetProtection algorithmName="SHA-512" hashValue="1xVTyy4DmeS2CTOShyFV+TSN/j8nhy0l6NOiXDM7Iqe0q8Z43gg/yQoUw2pYaAKXURyNEEI3UpcGA9Dk911CgA==" saltValue="X3xKsB3JV1r0oZvUvVN1vw==" spinCount="100000" sheet="1" objects="1" scenarios="1"/>
  <mergeCells count="3">
    <mergeCell ref="B12:G12"/>
    <mergeCell ref="B3:G4"/>
    <mergeCell ref="B8:G8"/>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18</vt:i4>
      </vt:variant>
    </vt:vector>
  </HeadingPairs>
  <TitlesOfParts>
    <vt:vector size="18"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Anlægsprojekter (§ 19) </vt:lpstr>
      <vt:lpstr>Fane 10.1. Varige tillæg</vt:lpstr>
      <vt:lpstr>Fane 10.2. Engangstillæg</vt:lpstr>
      <vt:lpstr>Fane 11. Tilknyttet virksomhed</vt:lpstr>
      <vt:lpstr>Fane 12. Bortfald</vt:lpstr>
      <vt:lpstr>Fane 13.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2022-12-01T09:27:22Z</dcterms:modified>
</cp:coreProperties>
</file>