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Haderslev Spildevand AS (S034)\ØR2025\"/>
    </mc:Choice>
  </mc:AlternateContent>
  <xr:revisionPtr revIDLastSave="0" documentId="13_ncr:1_{FF60EBFF-BA45-46B1-973A-295EC4F7A997}"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2025'!$B$8:$D$39</definedName>
    <definedName name="Fane21total">'Fane 2.1. Økonomisk ramme 2025'!$C$39</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2025'!$B$8:$D$39</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ØR2024'!$B$8:$D$38</definedName>
    <definedName name="ØR25total">'Fane 2.1. Økonomisk ramme 2025'!$C$39</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27" i="37"/>
  <c r="C28" i="37" s="1"/>
  <c r="C10" i="2" l="1"/>
  <c r="C16" i="30" l="1"/>
  <c r="C17" i="30" s="1"/>
  <c r="C21" i="30" l="1"/>
  <c r="C22" i="30" s="1"/>
  <c r="C18" i="2"/>
  <c r="E27" i="37"/>
  <c r="E28" i="37" s="1"/>
  <c r="C12" i="15" l="1"/>
  <c r="C26" i="30"/>
  <c r="C27" i="30" s="1"/>
  <c r="C11" i="2" l="1"/>
  <c r="C16" i="36" s="1"/>
  <c r="C11" i="36" l="1"/>
  <c r="C15" i="36" s="1"/>
  <c r="C17" i="36" s="1"/>
  <c r="C19" i="2" l="1"/>
  <c r="C9" i="2"/>
  <c r="C16" i="2" s="1"/>
  <c r="C21" i="36" l="1"/>
  <c r="C22" i="36" s="1"/>
  <c r="C17" i="2"/>
  <c r="C20" i="2" l="1"/>
  <c r="C39" i="2" s="1"/>
  <c r="C13" i="15"/>
  <c r="C26" i="36"/>
  <c r="C27" i="36" l="1"/>
  <c r="C13" i="22" s="1"/>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<sst xmlns="http://schemas.openxmlformats.org/spreadsheetml/2006/main" count="581" uniqueCount="251">
  <si>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</si>
  <si>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</si>
  <si>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</si>
  <si>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</si>
  <si>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</si>
  <si>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</si>
  <si>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</si>
  <si>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</si>
  <si>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</si>
  <si>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</si>
  <si>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</si>
  <si>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</si>
  <si>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</si>
  <si>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</si>
  <si>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</si>
  <si>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</si>
  <si>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</si>
  <si>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</si>
  <si>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</si>
  <si>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</si>
  <si>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</si>
  <si>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</si>
  <si>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</si>
  <si>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</si>
  <si>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</si>
  <si>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</si>
  <si>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</si>
  <si>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</si>
  <si>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</si>
  <si>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</si>
  <si>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</si>
  <si>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</si>
  <si>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</si>
  <si>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</si>
  <si>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</si>
  <si>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</si>
  <si>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</si>
  <si>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</si>
  <si>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</si>
  <si>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</si>
  <si>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</si>
  <si>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</si>
  <si>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</si>
  <si>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</si>
  <si>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</si>
  <si>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</si>
  <si>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</si>
  <si>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</si>
  <si>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</si>
  <si>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</si>
  <si>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</si>
  <si>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</si>
  <si>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</si>
  <si>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</si>
  <si>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</si>
  <si>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</si>
  <si>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</si>
  <si>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</si>
  <si>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</si>
  <si>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</si>
  <si>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</si>
  <si>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</si>
  <si>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</si>
  <si>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</si>
  <si>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</si>
  <si>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</si>
  <si>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</si>
  <si>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</si>
  <si>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</si>
  <si>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</si>
  <si>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</si>
  <si>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</si>
  <si>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</si>
  <si>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</si>
  <si>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</si>
  <si>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</si>
  <si>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</si>
  <si>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</si>
  <si>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</si>
  <si>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</si>
  <si>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</si>
  <si>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</si>
  <si>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</si>
  <si>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</si>
  <si>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</si>
  <si>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</si>
  <si>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</si>
  <si>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</si>
  <si>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</si>
  <si>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</si>
  <si>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</si>
  <si>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</si>
  <si>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</si>
  <si>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</si>
  <si>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</si>
  <si>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</si>
  <si>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</si>
  <si>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</si>
  <si>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</si>
  <si>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</si>
  <si>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</si>
  <si>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</si>
  <si>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</si>
  <si>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</si>
  <si>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</si>
  <si>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</si>
  <si>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</si>
  <si>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</si>
  <si>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</si>
  <si>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</si>
  <si>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</si>
  <si>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</si>
  <si>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</si>
  <si>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</si>
  <si>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</si>
  <si>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</si>
  <si>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</si>
  <si>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</si>
  <si>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</si>
  <si>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</si>
  <si>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</si>
  <si>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</si>
  <si>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</si>
  <si>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</si>
  <si>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</si>
  <si>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</si>
  <si>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</si>
  <si>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</si>
  <si>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</si>
  <si>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</si>
  <si>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</si>
  <si>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</si>
  <si>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</si>
  <si>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</si>
  <si>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</si>
  <si>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</si>
  <si>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</si>
  <si>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</si>
  <si>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</si>
  <si>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</si>
  <si>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</si>
  <si>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</si>
  <si>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</si>
  <si>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</si>
  <si>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</si>
  <si>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</si>
  <si>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</si>
  <si>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</si>
  <si>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</si>
  <si>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</si>
  <si>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</si>
  <si>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</si>
  <si>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</si>
  <si>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</si>
  <si>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</si>
  <si>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</si>
  <si>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</si>
  <si>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</si>
  <si>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</si>
  <si>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</si>
  <si>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</si>
  <si>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</si>
  <si>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</si>
  <si>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</si>
  <si>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</si>
  <si>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</si>
  <si>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</si>
  <si>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</si>
  <si>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</si>
  <si>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</si>
  <si>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</si>
  <si>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</si>
  <si>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</si>
  <si>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</si>
  <si>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</si>
  <si>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</si>
  <si>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</si>
  <si>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</si>
  <si>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</si>
  <si>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</si>
  <si>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</si>
  <si>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</si>
  <si>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</si>
  <si>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</si>
  <si>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</si>
  <si>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</si>
  <si>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</si>
  <si>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</si>
  <si>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</si>
  <si>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</si>
  <si>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</si>
  <si>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</si>
  <si>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</si>
  <si>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</si>
  <si>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</si>
  <si>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</si>
  <si>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</si>
  <si>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</si>
  <si>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</si>
  <si>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</si>
  <si>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</si>
  <si>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</si>
  <si>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</si>
  <si>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</si>
  <si>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</si>
  <si>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</si>
  <si>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</si>
  <si>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</si>
  <si>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</si>
  <si>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</si>
  <si>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</si>
  <si>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</si>
  <si>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</si>
  <si>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</si>
  <si>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</si>
  <si>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</si>
  <si>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</si>
  <si>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</si>
  <si>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</si>
  <si>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</si>
  <si>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</si>
  <si>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</si>
  <si>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</si>
  <si>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Korrektion af periodevise driftsomk. efter prisloftsbekendtgørelsen</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</si>
  <si>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</si>
  <si>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</si>
  <si>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</si>
  <si>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</si>
  <si>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Spildevandsafgift</t>
  </si>
  <si>
    <t>Afgift til Forsyningssekretariatet</t>
  </si>
  <si>
    <t>Køb af ydelser og produkter fra andre vandselskaber reguleret af vandsektorloven</t>
  </si>
  <si>
    <t>Ejendomsskatter</t>
  </si>
  <si>
    <t>Erstatninger</t>
  </si>
  <si>
    <t>Force majeure</t>
  </si>
  <si>
    <t>Gebyr til Miljøstyrelsen</t>
  </si>
  <si>
    <t>261500043 Bevtoft og Over Jerstal, nedlæggelse</t>
  </si>
  <si>
    <t>261500048 Hoptrup, rensning af overfladevand</t>
  </si>
  <si>
    <t>262500094 Simmersted Byvej, ren. af regnvandskloak</t>
  </si>
  <si>
    <t>262500157 Skrydstrup Nord, ren. af regn- og spildevand</t>
  </si>
  <si>
    <t xml:space="preserve">280103494 Flowmåler </t>
  </si>
  <si>
    <t>280103496 Lattergasmåler</t>
  </si>
  <si>
    <t>Projekter med Miljømål, samlet</t>
  </si>
  <si>
    <t>VOJB opfølgning 2023</t>
  </si>
  <si>
    <t>260500026 Tilslutning åbne land, generel sag</t>
  </si>
  <si>
    <t>260500093 Nye tilslutninger, SPV, 2023</t>
  </si>
  <si>
    <t>260600011 Kontraktligt medlemskab Åbne land 2023</t>
  </si>
  <si>
    <t>260600012 Åbne land 2023</t>
  </si>
  <si>
    <t>Udvidelse af Forsyningsområdet, samlet</t>
  </si>
  <si>
    <t>Håndterede vandmængder</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</si>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</sst>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9">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4" t="s">
        <v>4</v>
      </c>
      <c r="D6" s="94"/>
      <c r="E6" s="94"/>
      <c r="F6" s="94"/>
      <c r="G6" s="3"/>
    </row>
    <row r="7" spans="1:7" ht="15" customHeight="1" x14ac:dyDescent="0.25">
      <c r="A7" s="1"/>
      <c r="B7" s="3"/>
      <c r="C7" s="94"/>
      <c r="D7" s="94"/>
      <c r="E7" s="94"/>
      <c r="F7" s="94"/>
      <c r="G7" s="3"/>
    </row>
    <row r="8" spans="1:7" ht="15.75" x14ac:dyDescent="0.25">
      <c r="A8" s="1"/>
      <c r="B8" s="4"/>
      <c r="C8" s="99" t="s">
        <v>227</v>
      </c>
      <c r="D8" s="99"/>
      <c r="E8" s="99"/>
      <c r="F8" s="99"/>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8" t="s">
        <v>5</v>
      </c>
      <c r="D11" s="98"/>
      <c r="E11" s="98"/>
      <c r="F11" s="98"/>
      <c r="G11" s="5"/>
    </row>
    <row r="12" spans="1:7" x14ac:dyDescent="0.25">
      <c r="A12" s="1"/>
      <c r="B12" s="1"/>
      <c r="C12" s="1"/>
      <c r="D12" s="1"/>
      <c r="E12" s="1"/>
      <c r="F12" s="1"/>
      <c r="G12" s="5"/>
    </row>
    <row r="13" spans="1:7" x14ac:dyDescent="0.25">
      <c r="A13" s="1"/>
      <c r="B13" s="6" t="s">
        <v>6</v>
      </c>
      <c r="C13" s="100" t="s">
        <v>127</v>
      </c>
      <c r="D13" s="101"/>
      <c r="E13" s="101"/>
      <c r="F13" s="102"/>
      <c r="G13" s="5"/>
    </row>
    <row r="14" spans="1:7" x14ac:dyDescent="0.25">
      <c r="A14" s="1"/>
      <c r="B14" s="6" t="s">
        <v>16</v>
      </c>
      <c r="C14" s="91" t="s">
        <v>186</v>
      </c>
      <c r="D14" s="92"/>
      <c r="E14" s="92"/>
      <c r="F14" s="93"/>
      <c r="G14" s="5"/>
    </row>
    <row r="15" spans="1:7" x14ac:dyDescent="0.25">
      <c r="A15" s="1"/>
      <c r="B15" s="6" t="s">
        <v>30</v>
      </c>
      <c r="C15" s="91" t="s">
        <v>149</v>
      </c>
      <c r="D15" s="92"/>
      <c r="E15" s="92"/>
      <c r="F15" s="93"/>
      <c r="G15" s="5"/>
    </row>
    <row r="16" spans="1:7" x14ac:dyDescent="0.25">
      <c r="A16" s="1"/>
      <c r="B16" s="6" t="s">
        <v>31</v>
      </c>
      <c r="C16" s="91" t="s">
        <v>151</v>
      </c>
      <c r="D16" s="92"/>
      <c r="E16" s="92"/>
      <c r="F16" s="93"/>
      <c r="G16" s="5"/>
    </row>
    <row r="17" spans="1:8" x14ac:dyDescent="0.25">
      <c r="A17" s="1"/>
      <c r="B17" s="6" t="s">
        <v>61</v>
      </c>
      <c r="C17" s="91" t="s">
        <v>152</v>
      </c>
      <c r="D17" s="92"/>
      <c r="E17" s="92"/>
      <c r="F17" s="93"/>
      <c r="G17" s="5"/>
    </row>
    <row r="18" spans="1:8" x14ac:dyDescent="0.25">
      <c r="A18" s="1"/>
      <c r="B18" s="6" t="s">
        <v>53</v>
      </c>
      <c r="C18" s="88" t="s">
        <v>45</v>
      </c>
      <c r="D18" s="89"/>
      <c r="E18" s="89"/>
      <c r="F18" s="90"/>
      <c r="G18" s="5"/>
    </row>
    <row r="19" spans="1:8" x14ac:dyDescent="0.25">
      <c r="A19" s="1"/>
      <c r="B19" s="6" t="s">
        <v>54</v>
      </c>
      <c r="C19" s="88" t="s">
        <v>46</v>
      </c>
      <c r="D19" s="89"/>
      <c r="E19" s="89"/>
      <c r="F19" s="90"/>
      <c r="G19" s="5"/>
    </row>
    <row r="20" spans="1:8" x14ac:dyDescent="0.25">
      <c r="A20" s="1"/>
      <c r="B20" s="6" t="s">
        <v>7</v>
      </c>
      <c r="C20" s="88" t="s">
        <v>10</v>
      </c>
      <c r="D20" s="89"/>
      <c r="E20" s="89"/>
      <c r="F20" s="90"/>
      <c r="G20" s="5"/>
    </row>
    <row r="21" spans="1:8" x14ac:dyDescent="0.25">
      <c r="A21" s="1"/>
      <c r="B21" s="6" t="s">
        <v>55</v>
      </c>
      <c r="C21" s="95" t="s">
        <v>12</v>
      </c>
      <c r="D21" s="96"/>
      <c r="E21" s="96"/>
      <c r="F21" s="97"/>
      <c r="G21" s="5"/>
    </row>
    <row r="22" spans="1:8" x14ac:dyDescent="0.25">
      <c r="A22" s="1"/>
      <c r="B22" s="6" t="s">
        <v>39</v>
      </c>
      <c r="C22" s="82" t="s">
        <v>153</v>
      </c>
      <c r="D22" s="83"/>
      <c r="E22" s="83"/>
      <c r="F22" s="84"/>
      <c r="G22" s="5"/>
    </row>
    <row r="23" spans="1:8" x14ac:dyDescent="0.25">
      <c r="A23" s="1"/>
      <c r="B23" s="6" t="s">
        <v>8</v>
      </c>
      <c r="C23" s="82" t="s">
        <v>112</v>
      </c>
      <c r="D23" s="83"/>
      <c r="E23" s="83"/>
      <c r="F23" s="84"/>
      <c r="G23" s="5"/>
    </row>
    <row r="24" spans="1:8" x14ac:dyDescent="0.25">
      <c r="A24" s="1"/>
      <c r="B24" s="6" t="s">
        <v>9</v>
      </c>
      <c r="C24" s="82" t="s">
        <v>154</v>
      </c>
      <c r="D24" s="83"/>
      <c r="E24" s="83"/>
      <c r="F24" s="84"/>
      <c r="G24" s="5"/>
    </row>
    <row r="25" spans="1:8" x14ac:dyDescent="0.25">
      <c r="A25" s="1"/>
      <c r="B25" s="6" t="s">
        <v>97</v>
      </c>
      <c r="C25" s="82" t="s">
        <v>91</v>
      </c>
      <c r="D25" s="83"/>
      <c r="E25" s="83"/>
      <c r="F25" s="84"/>
      <c r="G25" s="1"/>
    </row>
    <row r="26" spans="1:8" x14ac:dyDescent="0.25">
      <c r="A26" s="1"/>
      <c r="B26" s="6" t="s">
        <v>98</v>
      </c>
      <c r="C26" s="82" t="s">
        <v>40</v>
      </c>
      <c r="D26" s="83"/>
      <c r="E26" s="83"/>
      <c r="F26" s="84"/>
      <c r="G26" s="1"/>
    </row>
    <row r="27" spans="1:8" x14ac:dyDescent="0.25">
      <c r="A27" s="1"/>
      <c r="B27" s="6" t="s">
        <v>99</v>
      </c>
      <c r="C27" s="82" t="s">
        <v>41</v>
      </c>
      <c r="D27" s="83"/>
      <c r="E27" s="83"/>
      <c r="F27" s="84"/>
      <c r="G27" s="1"/>
    </row>
    <row r="28" spans="1:8" x14ac:dyDescent="0.25">
      <c r="A28" s="1"/>
      <c r="B28" s="6" t="s">
        <v>15</v>
      </c>
      <c r="C28" s="82" t="s">
        <v>42</v>
      </c>
      <c r="D28" s="83"/>
      <c r="E28" s="83"/>
      <c r="F28" s="84"/>
      <c r="G28" s="1"/>
      <c r="H28" s="2" t="s">
        <v>150</v>
      </c>
    </row>
    <row r="29" spans="1:8" x14ac:dyDescent="0.25">
      <c r="A29" s="1"/>
      <c r="B29" s="6" t="s">
        <v>33</v>
      </c>
      <c r="C29" s="82" t="s">
        <v>68</v>
      </c>
      <c r="D29" s="83"/>
      <c r="E29" s="83"/>
      <c r="F29" s="84"/>
      <c r="G29" s="1"/>
    </row>
    <row r="30" spans="1:8" x14ac:dyDescent="0.25">
      <c r="A30" s="1"/>
      <c r="B30" s="6" t="s">
        <v>34</v>
      </c>
      <c r="C30" s="82" t="s">
        <v>32</v>
      </c>
      <c r="D30" s="83"/>
      <c r="E30" s="83"/>
      <c r="F30" s="84"/>
      <c r="G30" s="1"/>
    </row>
    <row r="31" spans="1:8" x14ac:dyDescent="0.25">
      <c r="A31" s="1"/>
      <c r="B31" s="6" t="s">
        <v>100</v>
      </c>
      <c r="C31" s="85" t="s">
        <v>52</v>
      </c>
      <c r="D31" s="86"/>
      <c r="E31" s="86"/>
      <c r="F31" s="87"/>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1x5H08CYkXxpAQ1xt1vBFRz4LVC1dPgtRXRDzspxWYRK/hN2rkWoDO9XMIrpsmpuCciNvztUrX6awIrd3gCeOA==" saltValue="tHmba4MEM5P2gDdFgwDL6A=="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58</v>
      </c>
      <c r="C3" s="103"/>
      <c r="D3" s="103"/>
      <c r="E3" s="1"/>
    </row>
    <row r="4" spans="1:5" ht="15" customHeight="1" x14ac:dyDescent="0.25">
      <c r="A4" s="1"/>
      <c r="B4" s="103"/>
      <c r="C4" s="103"/>
      <c r="D4" s="10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7" t="s">
        <v>165</v>
      </c>
      <c r="C8" s="108"/>
      <c r="D8" s="109"/>
      <c r="E8" s="1"/>
    </row>
    <row r="9" spans="1:5" ht="15" customHeight="1" x14ac:dyDescent="0.25">
      <c r="A9" s="1"/>
      <c r="B9" s="27" t="s">
        <v>28</v>
      </c>
      <c r="C9" s="67" t="s">
        <v>166</v>
      </c>
      <c r="D9" s="11"/>
      <c r="E9" s="1"/>
    </row>
    <row r="10" spans="1:5" ht="15" customHeight="1" x14ac:dyDescent="0.25">
      <c r="A10" s="1"/>
      <c r="B10" s="71" t="s">
        <v>228</v>
      </c>
      <c r="C10" s="72">
        <v>2733762</v>
      </c>
      <c r="D10" s="14" t="s">
        <v>3</v>
      </c>
      <c r="E10" s="1"/>
    </row>
    <row r="11" spans="1:5" ht="15" customHeight="1" x14ac:dyDescent="0.25">
      <c r="A11" s="1"/>
      <c r="B11" s="71" t="s">
        <v>229</v>
      </c>
      <c r="C11" s="72">
        <v>87960</v>
      </c>
      <c r="D11" s="14" t="s">
        <v>3</v>
      </c>
      <c r="E11" s="1"/>
    </row>
    <row r="12" spans="1:5" ht="25.5" x14ac:dyDescent="0.25">
      <c r="A12" s="1"/>
      <c r="B12" s="71" t="s">
        <v>230</v>
      </c>
      <c r="C12" s="7">
        <v>175969.52</v>
      </c>
      <c r="D12" s="14" t="s">
        <v>3</v>
      </c>
      <c r="E12" s="1"/>
    </row>
    <row r="13" spans="1:5" x14ac:dyDescent="0.25">
      <c r="A13" s="1"/>
      <c r="B13" s="71" t="s">
        <v>231</v>
      </c>
      <c r="C13" s="72">
        <v>329547.78000000003</v>
      </c>
      <c r="D13" s="14" t="s">
        <v>3</v>
      </c>
      <c r="E13" s="1"/>
    </row>
    <row r="14" spans="1:5" x14ac:dyDescent="0.25">
      <c r="A14" s="1"/>
      <c r="B14" s="71" t="s">
        <v>232</v>
      </c>
      <c r="C14" s="72">
        <v>258088.16999999998</v>
      </c>
      <c r="D14" s="14" t="s">
        <v>3</v>
      </c>
      <c r="E14" s="1"/>
    </row>
    <row r="15" spans="1:5" x14ac:dyDescent="0.25">
      <c r="A15" s="1"/>
      <c r="B15" s="71" t="s">
        <v>233</v>
      </c>
      <c r="C15" s="72">
        <v>1457517.79</v>
      </c>
      <c r="D15" s="14" t="s">
        <v>3</v>
      </c>
      <c r="E15" s="1"/>
    </row>
    <row r="16" spans="1:5" x14ac:dyDescent="0.25">
      <c r="A16" s="1"/>
      <c r="B16" s="71" t="s">
        <v>234</v>
      </c>
      <c r="C16" s="72">
        <v>20358.75</v>
      </c>
      <c r="D16" s="14" t="s">
        <v>3</v>
      </c>
      <c r="E16" s="1"/>
    </row>
    <row r="17" spans="1:5" x14ac:dyDescent="0.25">
      <c r="A17" s="1"/>
      <c r="B17" s="71"/>
      <c r="C17" s="72"/>
      <c r="D17" s="14" t="s">
        <v>3</v>
      </c>
      <c r="E17" s="1"/>
    </row>
    <row r="18" spans="1:5" x14ac:dyDescent="0.25">
      <c r="A18" s="1"/>
      <c r="B18" s="71"/>
      <c r="C18" s="72"/>
      <c r="D18" s="14" t="s">
        <v>3</v>
      </c>
      <c r="E18" s="1"/>
    </row>
    <row r="19" spans="1:5" x14ac:dyDescent="0.25">
      <c r="A19" s="1"/>
      <c r="B19" s="71"/>
      <c r="C19" s="72"/>
      <c r="D19" s="14" t="s">
        <v>3</v>
      </c>
      <c r="E19" s="1"/>
    </row>
    <row r="20" spans="1:5" x14ac:dyDescent="0.25">
      <c r="A20" s="1"/>
      <c r="B20" s="33" t="s">
        <v>167</v>
      </c>
      <c r="C20" s="12">
        <f>SUM(C10:C19)</f>
        <v>5063204.01</v>
      </c>
      <c r="D20" s="13" t="s">
        <v>3</v>
      </c>
      <c r="E20" s="1"/>
    </row>
    <row r="21" spans="1:5" x14ac:dyDescent="0.25">
      <c r="A21" s="1"/>
      <c r="B21" s="33" t="s">
        <v>168</v>
      </c>
      <c r="C21" s="12">
        <f>C20*(1+'Fane 15. Nøgletal'!C10)^2</f>
        <v>5756841.1369607169</v>
      </c>
      <c r="D21" s="13" t="s">
        <v>3</v>
      </c>
      <c r="E21" s="1"/>
    </row>
    <row r="22" spans="1:5" x14ac:dyDescent="0.25">
      <c r="A22" s="1"/>
      <c r="B22" s="16"/>
      <c r="C22" s="15"/>
      <c r="D22" s="15"/>
      <c r="E22" s="1"/>
    </row>
    <row r="23" spans="1:5" x14ac:dyDescent="0.25">
      <c r="A23" s="1"/>
      <c r="B23" s="16"/>
      <c r="C23" s="15"/>
      <c r="D23" s="15"/>
      <c r="E23" s="1"/>
    </row>
    <row r="24" spans="1:5" x14ac:dyDescent="0.25">
      <c r="A24" s="1"/>
      <c r="B24" s="107" t="s">
        <v>60</v>
      </c>
      <c r="C24" s="108"/>
      <c r="D24" s="109"/>
      <c r="E24" s="1"/>
    </row>
    <row r="25" spans="1:5" x14ac:dyDescent="0.25">
      <c r="A25" s="1"/>
      <c r="B25" s="37" t="s">
        <v>72</v>
      </c>
      <c r="C25" s="9"/>
      <c r="D25" s="14" t="s">
        <v>3</v>
      </c>
      <c r="E25" s="1"/>
    </row>
    <row r="26" spans="1:5" x14ac:dyDescent="0.25">
      <c r="A26" s="1"/>
      <c r="B26" s="37" t="s">
        <v>83</v>
      </c>
      <c r="C26" s="9"/>
      <c r="D26" s="14" t="s">
        <v>3</v>
      </c>
      <c r="E26" s="1"/>
    </row>
    <row r="27" spans="1:5" x14ac:dyDescent="0.25">
      <c r="A27" s="1"/>
      <c r="B27" s="37" t="s">
        <v>148</v>
      </c>
      <c r="C27" s="9"/>
      <c r="D27" s="14" t="s">
        <v>3</v>
      </c>
      <c r="E27" s="1"/>
    </row>
    <row r="28" spans="1:5" x14ac:dyDescent="0.25">
      <c r="A28" s="1"/>
      <c r="B28" s="34" t="s">
        <v>169</v>
      </c>
      <c r="C28" s="9"/>
      <c r="D28" s="36" t="s">
        <v>3</v>
      </c>
      <c r="E28" s="1"/>
    </row>
    <row r="29" spans="1:5" x14ac:dyDescent="0.25">
      <c r="A29" s="1"/>
      <c r="B29" s="107"/>
      <c r="C29" s="108"/>
      <c r="D29" s="109"/>
      <c r="E29" s="1"/>
    </row>
    <row r="30" spans="1:5" x14ac:dyDescent="0.25">
      <c r="A30" s="1"/>
      <c r="B30" s="1"/>
      <c r="C30" s="1"/>
      <c r="D30" s="1"/>
      <c r="E30" s="1"/>
    </row>
    <row r="31" spans="1:5" x14ac:dyDescent="0.25">
      <c r="A31" s="1"/>
      <c r="B31" s="1"/>
      <c r="C31" s="1"/>
      <c r="D31" s="1"/>
      <c r="E31" s="1"/>
    </row>
    <row r="32" spans="1:5" x14ac:dyDescent="0.25">
      <c r="A32" s="1"/>
      <c r="B32" s="107" t="s">
        <v>47</v>
      </c>
      <c r="C32" s="108"/>
      <c r="D32" s="109"/>
      <c r="E32" s="1"/>
    </row>
    <row r="33" spans="1:5" x14ac:dyDescent="0.25">
      <c r="A33" s="1"/>
      <c r="B33" s="37" t="s">
        <v>72</v>
      </c>
      <c r="C33" s="9"/>
      <c r="D33" s="14" t="s">
        <v>3</v>
      </c>
      <c r="E33" s="1"/>
    </row>
    <row r="34" spans="1:5" x14ac:dyDescent="0.25">
      <c r="A34" s="1"/>
      <c r="B34" s="37" t="s">
        <v>83</v>
      </c>
      <c r="C34" s="9"/>
      <c r="D34" s="14" t="s">
        <v>3</v>
      </c>
      <c r="E34" s="1"/>
    </row>
    <row r="35" spans="1:5" x14ac:dyDescent="0.25">
      <c r="A35" s="1"/>
      <c r="B35" s="37" t="s">
        <v>148</v>
      </c>
      <c r="C35" s="9"/>
      <c r="D35" s="14" t="s">
        <v>3</v>
      </c>
      <c r="E35" s="1"/>
    </row>
    <row r="36" spans="1:5" x14ac:dyDescent="0.25">
      <c r="A36" s="1"/>
      <c r="B36" s="34" t="s">
        <v>169</v>
      </c>
      <c r="C36" s="9"/>
      <c r="D36" s="36" t="s">
        <v>3</v>
      </c>
      <c r="E36" s="1"/>
    </row>
    <row r="37" spans="1:5" x14ac:dyDescent="0.25">
      <c r="A37" s="1"/>
      <c r="B37" s="107"/>
      <c r="C37" s="108"/>
      <c r="D37" s="109"/>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HKEQdSkJ2uPB8Zyh7v1YMYozAMywHjurxXCxExSI2Gi9HLoAyCo2GaNF9tyVypBTayyl8yk2Fv7atVWTWhiIUQ==" saltValue="xBnPArBGKh653rjosJrkzQ=="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201</v>
      </c>
      <c r="C3" s="105"/>
      <c r="D3" s="105"/>
      <c r="E3" s="1"/>
    </row>
    <row r="4" spans="1:5" ht="15" customHeight="1" x14ac:dyDescent="0.25">
      <c r="A4" s="1"/>
      <c r="B4" s="105"/>
      <c r="C4" s="105"/>
      <c r="D4" s="105"/>
      <c r="E4" s="1"/>
    </row>
    <row r="5" spans="1:5" ht="15" customHeight="1" x14ac:dyDescent="0.25">
      <c r="A5" s="1"/>
      <c r="B5" s="105"/>
      <c r="C5" s="105"/>
      <c r="D5" s="105"/>
      <c r="E5" s="1"/>
    </row>
    <row r="6" spans="1:5" ht="15" customHeight="1" x14ac:dyDescent="0.25">
      <c r="A6" s="1"/>
      <c r="B6" s="74"/>
      <c r="C6" s="74"/>
      <c r="D6" s="74"/>
      <c r="E6" s="1"/>
    </row>
    <row r="7" spans="1:5" x14ac:dyDescent="0.25">
      <c r="A7" s="1"/>
      <c r="B7" s="1"/>
      <c r="C7" s="1"/>
      <c r="D7" s="1"/>
      <c r="E7" s="1"/>
    </row>
    <row r="8" spans="1:5" x14ac:dyDescent="0.25">
      <c r="A8" s="1"/>
      <c r="B8" s="107" t="s">
        <v>77</v>
      </c>
      <c r="C8" s="108"/>
      <c r="D8" s="109"/>
      <c r="E8" s="1"/>
    </row>
    <row r="9" spans="1:5" x14ac:dyDescent="0.25">
      <c r="A9" s="1"/>
      <c r="B9" s="65" t="s">
        <v>204</v>
      </c>
      <c r="C9" s="9">
        <v>-5063670.0456333607</v>
      </c>
      <c r="D9" s="14" t="s">
        <v>3</v>
      </c>
      <c r="E9" s="1"/>
    </row>
    <row r="10" spans="1:5" x14ac:dyDescent="0.25">
      <c r="A10" s="1"/>
      <c r="B10" s="33"/>
      <c r="C10" s="28"/>
      <c r="D10" s="19"/>
      <c r="E10" s="1"/>
    </row>
    <row r="11" spans="1:5" ht="53.25" customHeight="1" x14ac:dyDescent="0.25">
      <c r="A11" s="1"/>
      <c r="B11" s="118" t="s">
        <v>212</v>
      </c>
      <c r="C11" s="119"/>
      <c r="D11" s="120"/>
      <c r="E11" s="1"/>
    </row>
    <row r="12" spans="1:5" x14ac:dyDescent="0.25">
      <c r="A12" s="1"/>
      <c r="B12" s="1"/>
      <c r="C12" s="1"/>
      <c r="D12" s="1"/>
      <c r="E12" s="1"/>
    </row>
    <row r="13" spans="1:5" x14ac:dyDescent="0.25">
      <c r="A13" s="1"/>
      <c r="B13" s="107" t="s">
        <v>78</v>
      </c>
      <c r="C13" s="108"/>
      <c r="D13" s="109"/>
      <c r="E13" s="1"/>
    </row>
    <row r="14" spans="1:5" x14ac:dyDescent="0.25">
      <c r="A14" s="1"/>
      <c r="B14" s="65" t="s">
        <v>202</v>
      </c>
      <c r="C14" s="9">
        <v>-42405.944881029427</v>
      </c>
      <c r="D14" s="14" t="s">
        <v>3</v>
      </c>
      <c r="E14" s="1"/>
    </row>
    <row r="15" spans="1:5" x14ac:dyDescent="0.25">
      <c r="A15" s="1"/>
      <c r="B15" s="65" t="s">
        <v>203</v>
      </c>
      <c r="C15" s="9">
        <v>-42405.944881029427</v>
      </c>
      <c r="D15" s="14" t="s">
        <v>3</v>
      </c>
      <c r="E15" s="1"/>
    </row>
    <row r="16" spans="1:5" x14ac:dyDescent="0.25">
      <c r="A16" s="1"/>
      <c r="B16" s="33"/>
      <c r="C16" s="28"/>
      <c r="D16" s="19"/>
      <c r="E16" s="1"/>
    </row>
    <row r="17" spans="1:5" ht="29.25" customHeight="1" x14ac:dyDescent="0.25">
      <c r="A17" s="1"/>
      <c r="B17" s="118" t="s">
        <v>121</v>
      </c>
      <c r="C17" s="119"/>
      <c r="D17" s="120"/>
      <c r="E17" s="1"/>
    </row>
    <row r="18" spans="1:5" x14ac:dyDescent="0.25">
      <c r="A18" s="1"/>
      <c r="B18" s="1"/>
      <c r="C18" s="1"/>
      <c r="D18" s="1"/>
      <c r="E18" s="1"/>
    </row>
    <row r="19" spans="1:5" x14ac:dyDescent="0.25">
      <c r="A19" s="1"/>
      <c r="B19" s="75" t="s">
        <v>205</v>
      </c>
      <c r="C19" s="76"/>
      <c r="D19" s="77"/>
      <c r="E19" s="1"/>
    </row>
    <row r="20" spans="1:5" x14ac:dyDescent="0.25">
      <c r="A20" s="1"/>
      <c r="B20" s="65" t="s">
        <v>206</v>
      </c>
      <c r="C20" s="9">
        <v>112461575.60663977</v>
      </c>
      <c r="D20" s="14" t="s">
        <v>3</v>
      </c>
      <c r="E20" s="1"/>
    </row>
    <row r="21" spans="1:5" x14ac:dyDescent="0.25">
      <c r="A21" s="1"/>
      <c r="B21" s="65" t="s">
        <v>207</v>
      </c>
      <c r="C21" s="9">
        <v>106634169.55</v>
      </c>
      <c r="D21" s="14" t="s">
        <v>3</v>
      </c>
      <c r="E21" s="1"/>
    </row>
    <row r="22" spans="1:5" x14ac:dyDescent="0.25">
      <c r="A22" s="1"/>
      <c r="B22" s="65" t="s">
        <v>29</v>
      </c>
      <c r="C22" s="9">
        <v>0</v>
      </c>
      <c r="D22" s="14" t="s">
        <v>3</v>
      </c>
      <c r="E22" s="1"/>
    </row>
    <row r="23" spans="1:5" x14ac:dyDescent="0.25">
      <c r="A23" s="1"/>
      <c r="B23" s="81" t="s">
        <v>208</v>
      </c>
      <c r="C23" s="57">
        <f>C20-C21-C22</f>
        <v>5827406.0566397756</v>
      </c>
      <c r="D23" s="17" t="s">
        <v>3</v>
      </c>
      <c r="E23" s="1"/>
    </row>
    <row r="24" spans="1:5" x14ac:dyDescent="0.25">
      <c r="A24" s="1"/>
      <c r="B24" s="33"/>
      <c r="C24" s="28"/>
      <c r="D24" s="19"/>
      <c r="E24" s="1"/>
    </row>
    <row r="25" spans="1:5" x14ac:dyDescent="0.25">
      <c r="A25" s="1"/>
      <c r="B25" s="1"/>
      <c r="C25" s="1"/>
      <c r="D25" s="1"/>
      <c r="E25" s="1"/>
    </row>
    <row r="26" spans="1:5" x14ac:dyDescent="0.25">
      <c r="A26" s="1"/>
      <c r="B26" s="107" t="s">
        <v>209</v>
      </c>
      <c r="C26" s="108"/>
      <c r="D26" s="109"/>
      <c r="E26" s="1"/>
    </row>
    <row r="27" spans="1:5" x14ac:dyDescent="0.25">
      <c r="A27" s="1"/>
      <c r="B27" s="81" t="s">
        <v>210</v>
      </c>
      <c r="C27" s="57">
        <f>IF(AND(C15&lt;0,C23&gt;0,ABS(SUM(C14:C15))&lt;C23),ABS(C14),IF(AND(C15&lt;0,C23&gt;0,ABS(SUM(C14:C15))&gt;C23),SUM(C14,C23),C15))</f>
        <v>42405.944881029427</v>
      </c>
      <c r="D27" s="17" t="s">
        <v>3</v>
      </c>
      <c r="E27" s="1"/>
    </row>
    <row r="28" spans="1:5" x14ac:dyDescent="0.25">
      <c r="A28" s="1"/>
      <c r="B28" s="107"/>
      <c r="C28" s="108"/>
      <c r="D28" s="109"/>
      <c r="E28" s="1"/>
    </row>
    <row r="29" spans="1:5" x14ac:dyDescent="0.25">
      <c r="A29" s="1"/>
      <c r="B29" s="1"/>
      <c r="C29" s="1"/>
      <c r="D29" s="1"/>
      <c r="E29" s="1"/>
    </row>
    <row r="30" spans="1:5" x14ac:dyDescent="0.25">
      <c r="A30" s="1"/>
      <c r="B30" s="107" t="s">
        <v>211</v>
      </c>
      <c r="C30" s="108"/>
      <c r="D30" s="109"/>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5"/>
      <c r="C34" s="116"/>
      <c r="D34" s="117"/>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88vFNjMd6hMrMOStiBZtfijNaVogBK4Yg1sHG3/CoiBGFBJJirAlEilfccdYlAab2DX4h0oFB+1Ybydrrf7cjQ==" saltValue="bYcku2npT7jnWcQUfo6Mcw=="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5" t="s">
        <v>101</v>
      </c>
      <c r="C3" s="105"/>
      <c r="D3" s="105"/>
      <c r="E3" s="1"/>
    </row>
    <row r="4" spans="1:5" ht="15" customHeight="1" x14ac:dyDescent="0.25">
      <c r="A4" s="1"/>
      <c r="B4" s="105"/>
      <c r="C4" s="105"/>
      <c r="D4" s="105"/>
      <c r="E4" s="1"/>
    </row>
    <row r="5" spans="1:5" x14ac:dyDescent="0.25">
      <c r="A5" s="1"/>
      <c r="B5" s="105"/>
      <c r="C5" s="105"/>
      <c r="D5" s="105"/>
      <c r="E5" s="1"/>
    </row>
    <row r="6" spans="1:5" x14ac:dyDescent="0.25">
      <c r="A6" s="1"/>
      <c r="B6" s="1"/>
      <c r="C6" s="1"/>
      <c r="D6" s="1"/>
      <c r="E6" s="1"/>
    </row>
    <row r="7" spans="1:5" x14ac:dyDescent="0.25">
      <c r="A7" s="1"/>
      <c r="B7" s="1"/>
      <c r="C7" s="1"/>
      <c r="D7" s="1"/>
      <c r="E7" s="1"/>
    </row>
    <row r="8" spans="1:5" x14ac:dyDescent="0.25">
      <c r="A8" s="1"/>
      <c r="B8" s="107" t="s">
        <v>120</v>
      </c>
      <c r="C8" s="108"/>
      <c r="D8" s="109"/>
      <c r="E8" s="1"/>
    </row>
    <row r="9" spans="1:5" ht="15" customHeight="1" x14ac:dyDescent="0.25">
      <c r="A9" s="1"/>
      <c r="B9" s="121" t="s">
        <v>102</v>
      </c>
      <c r="C9" s="122"/>
      <c r="D9" s="123"/>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5"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R19s4m1gvQTBFsmVd2peyJPcEunM0IKy1dE4gKJOuy2nwvFHPuhOhzJs5PRXxII5hxa02OKygIVnaW9+R9+f0w==" saltValue="p/wUZCNdIEPbms18Heugdg=="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170</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7" t="s">
        <v>171</v>
      </c>
      <c r="C8" s="108"/>
      <c r="D8" s="109"/>
      <c r="E8" s="1"/>
    </row>
    <row r="9" spans="1:5" ht="26.25" x14ac:dyDescent="0.25">
      <c r="A9" s="1"/>
      <c r="B9" s="78" t="s">
        <v>215</v>
      </c>
      <c r="C9" s="7"/>
      <c r="D9" s="8" t="s">
        <v>3</v>
      </c>
      <c r="E9" s="1"/>
    </row>
    <row r="10" spans="1:5" ht="14.25" customHeight="1" x14ac:dyDescent="0.25">
      <c r="A10" s="1"/>
      <c r="B10" s="65" t="s">
        <v>172</v>
      </c>
      <c r="C10" s="7"/>
      <c r="D10" s="8" t="s">
        <v>3</v>
      </c>
      <c r="E10" s="1"/>
    </row>
    <row r="11" spans="1:5" ht="14.25" customHeight="1" x14ac:dyDescent="0.25">
      <c r="A11" s="1"/>
      <c r="B11" s="81" t="s">
        <v>48</v>
      </c>
      <c r="C11" s="10">
        <f>C10-C9</f>
        <v>0</v>
      </c>
      <c r="D11" s="11" t="s">
        <v>3</v>
      </c>
      <c r="E11" s="1"/>
    </row>
    <row r="12" spans="1:5" ht="14.25" customHeight="1" x14ac:dyDescent="0.25">
      <c r="A12" s="1"/>
      <c r="B12" s="107" t="s">
        <v>217</v>
      </c>
      <c r="C12" s="108"/>
      <c r="D12" s="109"/>
      <c r="E12" s="1"/>
    </row>
    <row r="13" spans="1:5" ht="26.25" x14ac:dyDescent="0.25">
      <c r="A13" s="1"/>
      <c r="B13" s="78" t="s">
        <v>216</v>
      </c>
      <c r="C13" s="7"/>
      <c r="D13" s="8" t="s">
        <v>3</v>
      </c>
      <c r="E13" s="1"/>
    </row>
    <row r="14" spans="1:5" ht="14.25" customHeight="1" x14ac:dyDescent="0.25">
      <c r="A14" s="1"/>
      <c r="B14" s="65" t="s">
        <v>173</v>
      </c>
      <c r="C14" s="7"/>
      <c r="D14" s="8" t="s">
        <v>3</v>
      </c>
      <c r="E14" s="1"/>
    </row>
    <row r="15" spans="1:5" ht="14.25" customHeight="1" x14ac:dyDescent="0.25">
      <c r="A15" s="1"/>
      <c r="B15" s="81" t="s">
        <v>48</v>
      </c>
      <c r="C15" s="10">
        <f>C14-C13</f>
        <v>0</v>
      </c>
      <c r="D15" s="11" t="s">
        <v>3</v>
      </c>
      <c r="E15" s="1"/>
    </row>
    <row r="16" spans="1:5" ht="14.25" customHeight="1" x14ac:dyDescent="0.25">
      <c r="A16" s="1"/>
      <c r="B16" s="33" t="s">
        <v>174</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MYcafG21Gr1iKEXcUDDpWMa90FYOdHSpSO1fjieEL5bXZrvkLpK2YIFEI7qzZal2Z6wpJKqDTM+tPgIl7MzffQ==" saltValue="ibMwNpytRt1fn0JBfKM/Dw=="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3" t="s">
        <v>113</v>
      </c>
      <c r="C3" s="103"/>
      <c r="D3" s="103"/>
      <c r="E3" s="103"/>
      <c r="F3" s="103"/>
      <c r="G3" s="103"/>
      <c r="H3" s="103"/>
      <c r="I3" s="103"/>
      <c r="J3" s="103"/>
      <c r="K3" s="103"/>
      <c r="L3" s="1"/>
    </row>
    <row r="4" spans="1:12" ht="15" customHeight="1" x14ac:dyDescent="0.25">
      <c r="A4" s="1"/>
      <c r="B4" s="103"/>
      <c r="C4" s="103"/>
      <c r="D4" s="103"/>
      <c r="E4" s="103"/>
      <c r="F4" s="103"/>
      <c r="G4" s="103"/>
      <c r="H4" s="103"/>
      <c r="I4" s="103"/>
      <c r="J4" s="103"/>
      <c r="K4" s="103"/>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7" t="s">
        <v>86</v>
      </c>
      <c r="C8" s="108"/>
      <c r="D8" s="108"/>
      <c r="E8" s="108"/>
      <c r="F8" s="108"/>
      <c r="G8" s="108"/>
      <c r="H8" s="108"/>
      <c r="I8" s="108"/>
      <c r="J8" s="108"/>
      <c r="K8" s="109"/>
      <c r="L8" s="1"/>
    </row>
    <row r="9" spans="1:12" ht="39.75" customHeight="1" x14ac:dyDescent="0.25">
      <c r="A9" s="1"/>
      <c r="B9" s="18" t="s">
        <v>0</v>
      </c>
      <c r="C9" s="18" t="s">
        <v>1</v>
      </c>
      <c r="D9" s="124" t="s">
        <v>96</v>
      </c>
      <c r="E9" s="125"/>
      <c r="F9" s="124" t="s">
        <v>2</v>
      </c>
      <c r="G9" s="125"/>
      <c r="H9" s="124" t="s">
        <v>95</v>
      </c>
      <c r="I9" s="125"/>
      <c r="J9" s="124" t="s">
        <v>26</v>
      </c>
      <c r="K9" s="125"/>
      <c r="L9" s="1"/>
    </row>
    <row r="10" spans="1:12" x14ac:dyDescent="0.25">
      <c r="A10" s="1"/>
      <c r="B10" s="68" t="s">
        <v>222</v>
      </c>
      <c r="C10" s="42">
        <v>0</v>
      </c>
      <c r="D10" s="9">
        <v>0</v>
      </c>
      <c r="E10" s="14" t="s">
        <v>3</v>
      </c>
      <c r="F10" s="9">
        <f>IFERROR(D10/C10,0)</f>
        <v>0</v>
      </c>
      <c r="G10" s="14" t="s">
        <v>3</v>
      </c>
      <c r="H10" s="38">
        <v>0</v>
      </c>
      <c r="I10" s="14" t="s">
        <v>3</v>
      </c>
      <c r="J10" s="38">
        <v>0</v>
      </c>
      <c r="K10" s="14" t="s">
        <v>3</v>
      </c>
      <c r="L10" s="1"/>
    </row>
    <row r="11" spans="1:12" x14ac:dyDescent="0.25">
      <c r="A11" s="1"/>
      <c r="B11" s="75" t="s">
        <v>219</v>
      </c>
      <c r="C11" s="76"/>
      <c r="D11" s="77"/>
      <c r="E11" s="77"/>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iTbo1fv0YGl+Cal44hB2yPUOd2zAFFTcRNYt03Lt8Z6Qny0x2iqw1TKPzxapTSVxp/bJMiSMcMF23oTlDSyE5Q==" saltValue="WJBnaBcUKXwsefMk3GMPM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3" t="s">
        <v>114</v>
      </c>
      <c r="C3" s="103"/>
      <c r="D3" s="103"/>
      <c r="E3" s="103"/>
      <c r="F3" s="103"/>
      <c r="G3" s="1"/>
    </row>
    <row r="4" spans="1:7" ht="15" customHeight="1" x14ac:dyDescent="0.25">
      <c r="A4" s="1"/>
      <c r="B4" s="103"/>
      <c r="C4" s="103"/>
      <c r="D4" s="103"/>
      <c r="E4" s="103"/>
      <c r="F4" s="10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79" t="s">
        <v>17</v>
      </c>
      <c r="C9" s="81" t="s">
        <v>11</v>
      </c>
      <c r="D9" s="80"/>
      <c r="E9" s="81"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235</v>
      </c>
      <c r="C11" s="21">
        <v>0</v>
      </c>
      <c r="D11" s="14" t="s">
        <v>3</v>
      </c>
      <c r="E11" s="9">
        <v>19817</v>
      </c>
      <c r="F11" s="14" t="s">
        <v>3</v>
      </c>
      <c r="G11" s="1"/>
    </row>
    <row r="12" spans="1:7" x14ac:dyDescent="0.25">
      <c r="A12" s="1"/>
      <c r="B12" s="24" t="s">
        <v>236</v>
      </c>
      <c r="C12" s="21">
        <v>5474</v>
      </c>
      <c r="D12" s="14" t="s">
        <v>3</v>
      </c>
      <c r="E12" s="9">
        <v>81342</v>
      </c>
      <c r="F12" s="14" t="s">
        <v>3</v>
      </c>
      <c r="G12" s="1"/>
    </row>
    <row r="13" spans="1:7" x14ac:dyDescent="0.25">
      <c r="A13" s="1"/>
      <c r="B13" s="24" t="s">
        <v>237</v>
      </c>
      <c r="C13" s="21">
        <v>8706</v>
      </c>
      <c r="D13" s="14" t="s">
        <v>3</v>
      </c>
      <c r="E13" s="9">
        <v>132767</v>
      </c>
      <c r="F13" s="14" t="s">
        <v>3</v>
      </c>
      <c r="G13" s="1"/>
    </row>
    <row r="14" spans="1:7" x14ac:dyDescent="0.25">
      <c r="A14" s="1"/>
      <c r="B14" s="24" t="s">
        <v>238</v>
      </c>
      <c r="C14" s="21">
        <v>5681</v>
      </c>
      <c r="D14" s="14" t="s">
        <v>3</v>
      </c>
      <c r="E14" s="9">
        <v>57853</v>
      </c>
      <c r="F14" s="14" t="s">
        <v>3</v>
      </c>
      <c r="G14" s="1"/>
    </row>
    <row r="15" spans="1:7" x14ac:dyDescent="0.25">
      <c r="A15" s="1"/>
      <c r="B15" s="24" t="s">
        <v>239</v>
      </c>
      <c r="C15" s="21">
        <v>0</v>
      </c>
      <c r="D15" s="14" t="s">
        <v>3</v>
      </c>
      <c r="E15" s="9">
        <v>21415</v>
      </c>
      <c r="F15" s="14" t="s">
        <v>3</v>
      </c>
      <c r="G15" s="1"/>
    </row>
    <row r="16" spans="1:7" x14ac:dyDescent="0.25">
      <c r="A16" s="1"/>
      <c r="B16" s="24" t="s">
        <v>240</v>
      </c>
      <c r="C16" s="21">
        <v>0</v>
      </c>
      <c r="D16" s="14" t="s">
        <v>3</v>
      </c>
      <c r="E16" s="9">
        <v>14621</v>
      </c>
      <c r="F16" s="14" t="s">
        <v>3</v>
      </c>
      <c r="G16" s="1"/>
    </row>
    <row r="17" spans="1:7" x14ac:dyDescent="0.25">
      <c r="A17" s="1"/>
      <c r="B17" s="24" t="s">
        <v>241</v>
      </c>
      <c r="C17" s="21">
        <v>0</v>
      </c>
      <c r="D17" s="14" t="s">
        <v>3</v>
      </c>
      <c r="E17" s="9">
        <v>63166</v>
      </c>
      <c r="F17" s="14" t="s">
        <v>3</v>
      </c>
      <c r="G17" s="1"/>
    </row>
    <row r="18" spans="1:7" x14ac:dyDescent="0.25">
      <c r="A18" s="1"/>
      <c r="B18" s="24" t="s">
        <v>242</v>
      </c>
      <c r="C18" s="21">
        <v>0</v>
      </c>
      <c r="D18" s="14" t="s">
        <v>3</v>
      </c>
      <c r="E18" s="9">
        <v>173889</v>
      </c>
      <c r="F18" s="14" t="s">
        <v>3</v>
      </c>
      <c r="G18" s="1"/>
    </row>
    <row r="19" spans="1:7" x14ac:dyDescent="0.25">
      <c r="A19" s="1"/>
      <c r="B19" s="24" t="s">
        <v>243</v>
      </c>
      <c r="C19" s="21">
        <v>0</v>
      </c>
      <c r="D19" s="14" t="s">
        <v>3</v>
      </c>
      <c r="E19" s="9">
        <v>4502</v>
      </c>
      <c r="F19" s="14" t="s">
        <v>3</v>
      </c>
      <c r="G19" s="1"/>
    </row>
    <row r="20" spans="1:7" x14ac:dyDescent="0.25">
      <c r="A20" s="1"/>
      <c r="B20" s="24" t="s">
        <v>244</v>
      </c>
      <c r="C20" s="21">
        <v>14525</v>
      </c>
      <c r="D20" s="14" t="s">
        <v>3</v>
      </c>
      <c r="E20" s="9">
        <v>9803</v>
      </c>
      <c r="F20" s="14" t="s">
        <v>3</v>
      </c>
      <c r="G20" s="1"/>
    </row>
    <row r="21" spans="1:7" x14ac:dyDescent="0.25">
      <c r="A21" s="1"/>
      <c r="B21" s="24" t="s">
        <v>245</v>
      </c>
      <c r="C21" s="21">
        <v>0</v>
      </c>
      <c r="D21" s="14" t="s">
        <v>3</v>
      </c>
      <c r="E21" s="9">
        <v>2211</v>
      </c>
      <c r="F21" s="14" t="s">
        <v>3</v>
      </c>
      <c r="G21" s="1"/>
    </row>
    <row r="22" spans="1:7" x14ac:dyDescent="0.25">
      <c r="A22" s="1"/>
      <c r="B22" s="24" t="s">
        <v>246</v>
      </c>
      <c r="C22" s="21">
        <v>443</v>
      </c>
      <c r="D22" s="14" t="s">
        <v>3</v>
      </c>
      <c r="E22" s="9">
        <v>17841</v>
      </c>
      <c r="F22" s="14" t="s">
        <v>3</v>
      </c>
      <c r="G22" s="1"/>
    </row>
    <row r="23" spans="1:7" x14ac:dyDescent="0.25">
      <c r="A23" s="1"/>
      <c r="B23" s="24" t="s">
        <v>247</v>
      </c>
      <c r="C23" s="21">
        <v>8057</v>
      </c>
      <c r="D23" s="14" t="s">
        <v>3</v>
      </c>
      <c r="E23" s="9">
        <v>84915</v>
      </c>
      <c r="F23" s="14" t="s">
        <v>3</v>
      </c>
      <c r="G23" s="1"/>
    </row>
    <row r="24" spans="1:7" x14ac:dyDescent="0.25">
      <c r="A24" s="1"/>
      <c r="B24" s="24"/>
      <c r="C24" s="21"/>
      <c r="D24" s="14" t="s">
        <v>3</v>
      </c>
      <c r="E24" s="9"/>
      <c r="F24" s="14" t="s">
        <v>3</v>
      </c>
      <c r="G24" s="1"/>
    </row>
    <row r="25" spans="1:7" x14ac:dyDescent="0.25">
      <c r="A25" s="1"/>
      <c r="B25" s="24"/>
      <c r="C25" s="21"/>
      <c r="D25" s="14" t="s">
        <v>3</v>
      </c>
      <c r="E25" s="9"/>
      <c r="F25" s="14" t="s">
        <v>3</v>
      </c>
      <c r="G25" s="1"/>
    </row>
    <row r="26" spans="1:7" x14ac:dyDescent="0.25">
      <c r="A26" s="1"/>
      <c r="B26" s="24"/>
      <c r="C26" s="21"/>
      <c r="D26" s="14" t="s">
        <v>3</v>
      </c>
      <c r="E26" s="9"/>
      <c r="F26" s="14" t="s">
        <v>3</v>
      </c>
      <c r="G26" s="1"/>
    </row>
    <row r="27" spans="1:7" x14ac:dyDescent="0.25">
      <c r="A27" s="1"/>
      <c r="B27" s="33" t="s">
        <v>139</v>
      </c>
      <c r="C27" s="12">
        <f>SUM(C10:C26)</f>
        <v>42886</v>
      </c>
      <c r="D27" s="13" t="s">
        <v>3</v>
      </c>
      <c r="E27" s="12">
        <f>SUM(E10:E26)</f>
        <v>684142</v>
      </c>
      <c r="F27" s="13" t="s">
        <v>3</v>
      </c>
      <c r="G27" s="1"/>
    </row>
    <row r="28" spans="1:7" x14ac:dyDescent="0.25">
      <c r="A28" s="1"/>
      <c r="B28" s="33" t="s">
        <v>175</v>
      </c>
      <c r="C28" s="12">
        <f>C27*(1+'Fane 15. Nøgletal'!C10)</f>
        <v>45729.341800000002</v>
      </c>
      <c r="D28" s="13" t="s">
        <v>3</v>
      </c>
      <c r="E28" s="12">
        <f>E27*(1+'Fane 15. Nøgletal'!C10)</f>
        <v>729500.61459999997</v>
      </c>
      <c r="F28" s="13" t="s">
        <v>3</v>
      </c>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x14ac:dyDescent="0.25">
      <c r="A56" s="1"/>
      <c r="B56" s="1"/>
      <c r="C56" s="1"/>
      <c r="D56" s="1"/>
      <c r="E56" s="1"/>
      <c r="F56" s="1"/>
      <c r="G56" s="1"/>
    </row>
    <row r="57" spans="1:7" x14ac:dyDescent="0.25">
      <c r="A57" s="1"/>
      <c r="B57" s="1"/>
      <c r="C57" s="1"/>
      <c r="D57" s="1"/>
      <c r="E57" s="1"/>
      <c r="F57" s="1"/>
      <c r="G57" s="1"/>
    </row>
  </sheetData>
  <sheetProtection algorithmName="SHA-512" hashValue="hnxp+JJfcOPEY8eOYFPuCFahaZHtefHobECuw1wKYzEA4GIrMWQKrHwUyC1QOzrqKhqvkubYE6KPk2xYU+pcgg==" saltValue="JZnsMz6Jd/cgYWFfstJV8A=="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3" t="s">
        <v>115</v>
      </c>
      <c r="C3" s="103"/>
      <c r="D3" s="103"/>
      <c r="E3" s="103"/>
      <c r="F3" s="103"/>
      <c r="G3" s="1"/>
    </row>
    <row r="4" spans="1:7" ht="15" customHeight="1" x14ac:dyDescent="0.25">
      <c r="A4" s="1"/>
      <c r="B4" s="103"/>
      <c r="C4" s="103"/>
      <c r="D4" s="103"/>
      <c r="E4" s="103"/>
      <c r="F4" s="10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7" t="s">
        <v>176</v>
      </c>
      <c r="C8" s="108"/>
      <c r="D8" s="108"/>
      <c r="E8" s="108"/>
      <c r="F8" s="109"/>
      <c r="G8" s="1"/>
    </row>
    <row r="9" spans="1:7" x14ac:dyDescent="0.25">
      <c r="A9" s="1"/>
      <c r="B9" s="79" t="s">
        <v>17</v>
      </c>
      <c r="C9" s="81" t="s">
        <v>11</v>
      </c>
      <c r="D9" s="80"/>
      <c r="E9" s="81" t="s">
        <v>27</v>
      </c>
      <c r="F9" s="32"/>
      <c r="G9" s="1"/>
    </row>
    <row r="10" spans="1:7" x14ac:dyDescent="0.25">
      <c r="A10" s="1"/>
      <c r="B10" s="24" t="s">
        <v>248</v>
      </c>
      <c r="C10" s="21">
        <v>589575</v>
      </c>
      <c r="D10" s="14" t="s">
        <v>3</v>
      </c>
      <c r="E10" s="9">
        <v>0</v>
      </c>
      <c r="F10" s="14" t="s">
        <v>3</v>
      </c>
      <c r="G10" s="1"/>
    </row>
    <row r="11" spans="1:7" x14ac:dyDescent="0.25">
      <c r="A11" s="1"/>
      <c r="B11" s="70"/>
      <c r="C11" s="21"/>
      <c r="D11" s="14" t="s">
        <v>3</v>
      </c>
      <c r="E11" s="9"/>
      <c r="F11" s="14" t="s">
        <v>3</v>
      </c>
      <c r="G11" s="1"/>
    </row>
    <row r="12" spans="1:7" x14ac:dyDescent="0.25">
      <c r="A12" s="1"/>
      <c r="B12" s="24"/>
      <c r="C12" s="21"/>
      <c r="D12" s="14" t="s">
        <v>3</v>
      </c>
      <c r="E12" s="9"/>
      <c r="F12" s="14" t="s">
        <v>3</v>
      </c>
      <c r="G12" s="1"/>
    </row>
    <row r="13" spans="1:7" x14ac:dyDescent="0.25">
      <c r="A13" s="1"/>
      <c r="B13" s="33" t="s">
        <v>177</v>
      </c>
      <c r="C13" s="12">
        <f>SUM(C10:C12)</f>
        <v>589575</v>
      </c>
      <c r="D13" s="13" t="s">
        <v>3</v>
      </c>
      <c r="E13" s="12">
        <f>SUM(E10:E12)</f>
        <v>0</v>
      </c>
      <c r="F13" s="13" t="s">
        <v>3</v>
      </c>
      <c r="G13" s="1"/>
    </row>
    <row r="14" spans="1:7" x14ac:dyDescent="0.25">
      <c r="A14" s="1"/>
      <c r="B14" s="33" t="s">
        <v>178</v>
      </c>
      <c r="C14" s="12">
        <f>C13*(1+'Fane 15. Nøgletal'!C10)^2</f>
        <v>670344.23393175006</v>
      </c>
      <c r="D14" s="13" t="s">
        <v>3</v>
      </c>
      <c r="E14" s="12">
        <f>E13*(1+'Fane 15. Nøgletal'!C10)^2</f>
        <v>0</v>
      </c>
      <c r="F14" s="13" t="s">
        <v>3</v>
      </c>
      <c r="G14" s="1"/>
    </row>
    <row r="15" spans="1:7" x14ac:dyDescent="0.25">
      <c r="A15" s="1"/>
      <c r="B15" s="1"/>
      <c r="C15" s="1"/>
      <c r="D15" s="1"/>
      <c r="E15" s="1"/>
      <c r="F15" s="1"/>
      <c r="G15" s="1"/>
    </row>
    <row r="16" spans="1:7" x14ac:dyDescent="0.25">
      <c r="A16" s="1"/>
      <c r="B16" s="126"/>
      <c r="C16" s="126"/>
      <c r="D16" s="126"/>
      <c r="E16" s="126"/>
      <c r="F16" s="126"/>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6"/>
      <c r="C29" s="126"/>
      <c r="D29" s="126"/>
      <c r="E29" s="126"/>
      <c r="F29" s="126"/>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0MNoOtlH7MfqT9k5BR+HR8v9XuNzK+Iqmh1fN1TCB108nitSYED6NcXG1TnqaBXGDfO6VyRi4tG5hJeI2BpPSg==" saltValue="TqaD87vNZu089O9Cesryrg=="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116</v>
      </c>
      <c r="C3" s="105"/>
      <c r="D3" s="105"/>
      <c r="E3" s="1"/>
    </row>
    <row r="4" spans="1:5" ht="15" customHeight="1" x14ac:dyDescent="0.25">
      <c r="A4" s="1"/>
      <c r="B4" s="105"/>
      <c r="C4" s="105"/>
      <c r="D4" s="105"/>
      <c r="E4" s="1"/>
    </row>
    <row r="5" spans="1:5" x14ac:dyDescent="0.25">
      <c r="A5" s="1"/>
      <c r="B5" s="105"/>
      <c r="C5" s="105"/>
      <c r="D5" s="105"/>
      <c r="E5" s="1"/>
    </row>
    <row r="6" spans="1:5" x14ac:dyDescent="0.25">
      <c r="A6" s="1"/>
      <c r="B6" s="1"/>
      <c r="C6" s="1"/>
      <c r="D6" s="1"/>
      <c r="E6" s="1"/>
    </row>
    <row r="7" spans="1:5" x14ac:dyDescent="0.25">
      <c r="A7" s="1"/>
      <c r="B7" s="1"/>
      <c r="C7" s="1"/>
      <c r="D7" s="1"/>
      <c r="E7" s="1"/>
    </row>
    <row r="8" spans="1:5" ht="14.25" customHeight="1" x14ac:dyDescent="0.25">
      <c r="A8" s="1"/>
      <c r="B8" s="107" t="s">
        <v>73</v>
      </c>
      <c r="C8" s="108"/>
      <c r="D8" s="109"/>
      <c r="E8" s="1"/>
    </row>
    <row r="9" spans="1:5" x14ac:dyDescent="0.25">
      <c r="A9" s="1"/>
      <c r="B9" s="68" t="s">
        <v>179</v>
      </c>
      <c r="C9" s="9"/>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5" t="s">
        <v>74</v>
      </c>
      <c r="C12" s="12">
        <f>SUM(C9:C11)*(1+'Fane 15. Nøgletal'!C9)^2</f>
        <v>0</v>
      </c>
      <c r="D12" s="13" t="s">
        <v>3</v>
      </c>
      <c r="E12" s="1"/>
    </row>
    <row r="13" spans="1:5" x14ac:dyDescent="0.25">
      <c r="A13" s="1"/>
      <c r="B13" s="1"/>
      <c r="C13" s="1"/>
      <c r="D13" s="1"/>
      <c r="E13" s="1"/>
    </row>
    <row r="14" spans="1:5" ht="15" customHeight="1" x14ac:dyDescent="0.25">
      <c r="A14" s="1"/>
      <c r="B14" s="107" t="s">
        <v>84</v>
      </c>
      <c r="C14" s="108"/>
      <c r="D14" s="109"/>
      <c r="E14" s="1"/>
    </row>
    <row r="15" spans="1:5" x14ac:dyDescent="0.25">
      <c r="A15" s="1"/>
      <c r="B15" s="68" t="s">
        <v>179</v>
      </c>
      <c r="C15" s="9"/>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5" t="s">
        <v>85</v>
      </c>
      <c r="C18" s="12">
        <f>SUM(C15:C17)*(1+'Fane 15. Nøgletal'!C10)^3</f>
        <v>0</v>
      </c>
      <c r="D18" s="13" t="s">
        <v>3</v>
      </c>
      <c r="E18" s="1"/>
    </row>
    <row r="19" spans="1:5" x14ac:dyDescent="0.25">
      <c r="A19" s="1"/>
      <c r="B19" s="1"/>
      <c r="C19" s="1"/>
      <c r="D19" s="1"/>
      <c r="E19" s="1"/>
    </row>
    <row r="20" spans="1:5" ht="15" customHeight="1" x14ac:dyDescent="0.25">
      <c r="A20" s="1"/>
      <c r="B20" s="107" t="s">
        <v>140</v>
      </c>
      <c r="C20" s="108"/>
      <c r="D20" s="109"/>
      <c r="E20" s="1"/>
    </row>
    <row r="21" spans="1:5" x14ac:dyDescent="0.25">
      <c r="A21" s="1"/>
      <c r="B21" s="68" t="s">
        <v>179</v>
      </c>
      <c r="C21" s="9"/>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5" t="s">
        <v>141</v>
      </c>
      <c r="C24" s="12">
        <f>SUM(C21:C23)*(1+'Fane 15. Nøgletal'!C10)^4</f>
        <v>0</v>
      </c>
      <c r="D24" s="13" t="s">
        <v>3</v>
      </c>
      <c r="E24" s="1"/>
    </row>
    <row r="25" spans="1:5" x14ac:dyDescent="0.25">
      <c r="A25" s="1"/>
      <c r="B25" s="1"/>
      <c r="C25" s="1"/>
      <c r="D25" s="1"/>
      <c r="E25" s="1"/>
    </row>
    <row r="26" spans="1:5" ht="15" customHeight="1" x14ac:dyDescent="0.25">
      <c r="A26" s="1"/>
      <c r="B26" s="107" t="s">
        <v>180</v>
      </c>
      <c r="C26" s="108"/>
      <c r="D26" s="109"/>
      <c r="E26" s="1"/>
    </row>
    <row r="27" spans="1:5" ht="14.25" customHeight="1" x14ac:dyDescent="0.25">
      <c r="A27" s="1"/>
      <c r="B27" s="68" t="s">
        <v>179</v>
      </c>
      <c r="C27" s="9"/>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5"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EYGfbFo/w1N/EWPx7R6TIk8J+1aBjAZfsYNqCiCdVuXpKcUp1/reU5vbe8k8HCt8/Vqera6UKug1tb3QGTS+sg==" saltValue="0kKQ6XkafdHijM6vNnmrnQ=="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117</v>
      </c>
      <c r="C3" s="105"/>
      <c r="D3" s="105"/>
      <c r="E3" s="105"/>
      <c r="F3" s="105"/>
      <c r="G3" s="1"/>
    </row>
    <row r="4" spans="1:7" ht="15" customHeight="1" x14ac:dyDescent="0.25">
      <c r="A4" s="1"/>
      <c r="B4" s="105"/>
      <c r="C4" s="105"/>
      <c r="D4" s="105"/>
      <c r="E4" s="105"/>
      <c r="F4" s="105"/>
      <c r="G4" s="1"/>
    </row>
    <row r="5" spans="1:7" x14ac:dyDescent="0.25">
      <c r="A5" s="1"/>
      <c r="B5" s="105"/>
      <c r="C5" s="105"/>
      <c r="D5" s="105"/>
      <c r="E5" s="105"/>
      <c r="F5" s="105"/>
      <c r="G5" s="1"/>
    </row>
    <row r="6" spans="1:7" x14ac:dyDescent="0.25">
      <c r="A6" s="1"/>
      <c r="B6" s="1"/>
      <c r="C6" s="1"/>
      <c r="D6" s="1"/>
      <c r="E6" s="1"/>
      <c r="F6" s="1"/>
      <c r="G6" s="1"/>
    </row>
    <row r="7" spans="1:7" x14ac:dyDescent="0.25">
      <c r="A7" s="1"/>
      <c r="B7" s="1"/>
      <c r="C7" s="1"/>
      <c r="D7" s="1"/>
      <c r="E7" s="1"/>
      <c r="F7" s="1"/>
      <c r="G7" s="1"/>
    </row>
    <row r="8" spans="1:7" x14ac:dyDescent="0.25">
      <c r="A8" s="1"/>
      <c r="B8" s="107" t="s">
        <v>66</v>
      </c>
      <c r="C8" s="108"/>
      <c r="D8" s="108"/>
      <c r="E8" s="108"/>
      <c r="F8" s="109"/>
      <c r="G8" s="1"/>
    </row>
    <row r="9" spans="1:7" ht="15" customHeight="1" x14ac:dyDescent="0.25">
      <c r="A9" s="1"/>
      <c r="B9" s="31" t="s">
        <v>67</v>
      </c>
      <c r="C9" s="27" t="s">
        <v>11</v>
      </c>
      <c r="D9" s="32"/>
      <c r="E9" s="27" t="s">
        <v>27</v>
      </c>
      <c r="F9" s="32"/>
      <c r="G9" s="1"/>
    </row>
    <row r="10" spans="1:7" ht="26.25" x14ac:dyDescent="0.25">
      <c r="A10" s="1"/>
      <c r="B10" s="70" t="s">
        <v>220</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GPPzHjmi9ioFIWy6r8oWLi9C3j0lQIoqVEDaFtLmZX9E3a30FFgdEHXFk5wL6ix6ESX1rYsfeduBME7EPMBDYQ==" saltValue="Kll664etazRDxOOJoiIu2Q=="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118</v>
      </c>
      <c r="C3" s="105"/>
      <c r="D3" s="105"/>
      <c r="E3" s="105"/>
      <c r="F3" s="105"/>
      <c r="G3" s="1"/>
    </row>
    <row r="4" spans="1:7" ht="15" customHeight="1" x14ac:dyDescent="0.25">
      <c r="A4" s="1"/>
      <c r="B4" s="105"/>
      <c r="C4" s="105"/>
      <c r="D4" s="105"/>
      <c r="E4" s="105"/>
      <c r="F4" s="105"/>
      <c r="G4" s="1"/>
    </row>
    <row r="5" spans="1:7" x14ac:dyDescent="0.25">
      <c r="A5" s="1"/>
      <c r="B5" s="105"/>
      <c r="C5" s="105"/>
      <c r="D5" s="105"/>
      <c r="E5" s="105"/>
      <c r="F5" s="105"/>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7" t="s">
        <v>183</v>
      </c>
      <c r="C8" s="108"/>
      <c r="D8" s="108"/>
      <c r="E8" s="108"/>
      <c r="F8" s="109"/>
      <c r="G8" s="1"/>
    </row>
    <row r="9" spans="1:7" x14ac:dyDescent="0.25">
      <c r="A9" s="1"/>
      <c r="B9" s="31" t="s">
        <v>18</v>
      </c>
      <c r="C9" s="127" t="s">
        <v>11</v>
      </c>
      <c r="D9" s="128"/>
      <c r="E9" s="127" t="s">
        <v>27</v>
      </c>
      <c r="F9" s="128"/>
      <c r="G9" s="1"/>
    </row>
    <row r="10" spans="1:7" x14ac:dyDescent="0.25">
      <c r="A10" s="1"/>
      <c r="B10" s="70" t="s">
        <v>221</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214</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6"/>
      <c r="C14" s="126"/>
      <c r="D14" s="126"/>
      <c r="E14" s="126"/>
      <c r="F14" s="126"/>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6"/>
      <c r="C21" s="126"/>
      <c r="D21" s="126"/>
      <c r="E21" s="126"/>
      <c r="F21" s="126"/>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6"/>
      <c r="C27" s="126"/>
      <c r="D27" s="126"/>
      <c r="E27" s="126"/>
      <c r="F27" s="126"/>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ktsi6vwgQm+SlxRrUoYweXAtj9m/YCvwGb69zhs/VaKbRWCmxOAGleqTqFIwZBlMYw2DyBdtEeothcGVR4S3aQ==" saltValue="Y6CUMu9ljFTiB/JaWlv98A=="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155</v>
      </c>
      <c r="C3" s="103"/>
      <c r="D3" s="103"/>
      <c r="E3" s="1"/>
    </row>
    <row r="4" spans="1:5" ht="15" customHeight="1" x14ac:dyDescent="0.25">
      <c r="A4" s="1"/>
      <c r="B4" s="103"/>
      <c r="C4" s="103"/>
      <c r="D4" s="10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119234356.29299434</v>
      </c>
      <c r="D9" s="8" t="s">
        <v>3</v>
      </c>
      <c r="E9" s="1"/>
    </row>
    <row r="10" spans="1:5" ht="17.25" customHeight="1" x14ac:dyDescent="0.25">
      <c r="A10" s="1"/>
      <c r="B10" s="64" t="s">
        <v>35</v>
      </c>
      <c r="C10" s="7">
        <f>'Fane 11.1. Varige tillæg'!C28</f>
        <v>45729.341800000002</v>
      </c>
      <c r="D10" s="8" t="s">
        <v>3</v>
      </c>
      <c r="E10" s="1"/>
    </row>
    <row r="11" spans="1:5" ht="17.25" customHeight="1" x14ac:dyDescent="0.25">
      <c r="A11" s="1"/>
      <c r="B11" s="64" t="s">
        <v>36</v>
      </c>
      <c r="C11" s="9">
        <f>'Fane 11.1. Varige tillæg'!E28</f>
        <v>729500.61459999997</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9685533.7345832624</v>
      </c>
      <c r="D16" s="8" t="s">
        <v>3</v>
      </c>
      <c r="E16" s="1"/>
    </row>
    <row r="17" spans="1:5" ht="17.25" customHeight="1" x14ac:dyDescent="0.25">
      <c r="A17" s="1"/>
      <c r="B17" s="64" t="s">
        <v>10</v>
      </c>
      <c r="C17" s="38">
        <f>-SUM(C9,C10:C16)*'Fane 5. Individuelt eff. krav'!C9</f>
        <v>-396670.16104963009</v>
      </c>
      <c r="D17" s="8" t="s">
        <v>3</v>
      </c>
      <c r="E17" s="1"/>
    </row>
    <row r="18" spans="1:5" ht="17.25" customHeight="1" x14ac:dyDescent="0.25">
      <c r="A18" s="1"/>
      <c r="B18" s="64" t="s">
        <v>22</v>
      </c>
      <c r="C18" s="38">
        <f>-'Fane 4.1. Gen. krav - drift'!C17</f>
        <v>-924034.29209019674</v>
      </c>
      <c r="D18" s="8" t="s">
        <v>3</v>
      </c>
      <c r="E18" s="1"/>
    </row>
    <row r="19" spans="1:5" ht="17.25" customHeight="1" x14ac:dyDescent="0.25">
      <c r="A19" s="1"/>
      <c r="B19" s="64" t="s">
        <v>23</v>
      </c>
      <c r="C19" s="38">
        <f>-'Fane 4.2. Gen. krav - anlæg'!C17</f>
        <v>0</v>
      </c>
      <c r="D19" s="8" t="s">
        <v>3</v>
      </c>
      <c r="E19" s="43"/>
    </row>
    <row r="20" spans="1:5" ht="17.25" customHeight="1" x14ac:dyDescent="0.25">
      <c r="A20" s="1"/>
      <c r="B20" s="81" t="s">
        <v>21</v>
      </c>
      <c r="C20" s="10">
        <f>SUM(C9:C19)</f>
        <v>128374415.53083777</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5756841.1369607169</v>
      </c>
      <c r="D22" s="11" t="s">
        <v>3</v>
      </c>
      <c r="E22" s="1"/>
    </row>
    <row r="23" spans="1:5" ht="15" customHeight="1" x14ac:dyDescent="0.25">
      <c r="A23" s="1"/>
      <c r="B23" s="33" t="s">
        <v>42</v>
      </c>
      <c r="C23" s="28"/>
      <c r="D23" s="19"/>
      <c r="E23" s="1"/>
    </row>
    <row r="24" spans="1:5" ht="15" customHeight="1" x14ac:dyDescent="0.25">
      <c r="A24" s="1"/>
      <c r="B24" s="81"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670344.23393175006</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-15457.120302498472</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654887.1136292516</v>
      </c>
      <c r="D30" s="11" t="s">
        <v>3</v>
      </c>
      <c r="E30" s="1"/>
    </row>
    <row r="31" spans="1:5" x14ac:dyDescent="0.25">
      <c r="A31" s="1"/>
      <c r="B31" s="33" t="s">
        <v>69</v>
      </c>
      <c r="C31" s="28"/>
      <c r="D31" s="19"/>
      <c r="E31" s="1"/>
    </row>
    <row r="32" spans="1:5" x14ac:dyDescent="0.25">
      <c r="A32" s="1"/>
      <c r="B32" s="31" t="s">
        <v>79</v>
      </c>
      <c r="C32" s="62">
        <f>'Fane 7. Kontrol af ØR2023'!C27</f>
        <v>42405.944881029427</v>
      </c>
      <c r="D32" s="11" t="s">
        <v>3</v>
      </c>
      <c r="E32" s="1"/>
    </row>
    <row r="33" spans="1:5" ht="15" customHeight="1" x14ac:dyDescent="0.25">
      <c r="A33" s="1"/>
      <c r="B33" s="33" t="s">
        <v>154</v>
      </c>
      <c r="C33" s="28"/>
      <c r="D33" s="19"/>
      <c r="E33" s="1"/>
    </row>
    <row r="34" spans="1:5" x14ac:dyDescent="0.25">
      <c r="A34" s="1"/>
      <c r="B34" s="31" t="s">
        <v>154</v>
      </c>
      <c r="C34" s="10">
        <f>'Fane 9. Korrektion af ØR2023'!C16</f>
        <v>0</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0" t="s">
        <v>249</v>
      </c>
      <c r="C37" s="28"/>
      <c r="D37" s="19"/>
      <c r="E37" s="1"/>
    </row>
    <row r="38" spans="1:5" x14ac:dyDescent="0.25">
      <c r="A38" s="1"/>
      <c r="B38" s="67" t="s">
        <v>250</v>
      </c>
      <c r="C38" s="10">
        <v>2948495.4961030665</v>
      </c>
      <c r="D38" s="11" t="s">
        <v>3</v>
      </c>
      <c r="E38" s="1"/>
    </row>
    <row r="39" spans="1:5" x14ac:dyDescent="0.25">
      <c r="A39" s="1"/>
      <c r="B39" s="33" t="s">
        <v>71</v>
      </c>
      <c r="C39" s="45">
        <f>SUM(C34,C32,C24,C30,C22,C20,C36,C38)</f>
        <v>137777045.22241184</v>
      </c>
      <c r="D39" s="30" t="s">
        <v>3</v>
      </c>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8OPcG9gEvdNkNPme1Y5xGUXRWUbslZGd2/cbrw6CRGf7EPkzXjb2kVV5aR7f5h9+PDf1bvAnhRRHU0o1zf6myw==" saltValue="iie/RvwH0S6UUL5lIzGyHw=="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5" t="s">
        <v>119</v>
      </c>
      <c r="C3" s="105"/>
      <c r="D3" s="1"/>
    </row>
    <row r="4" spans="1:4" ht="15" customHeight="1" x14ac:dyDescent="0.25">
      <c r="A4" s="1"/>
      <c r="B4" s="105"/>
      <c r="C4" s="105"/>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225</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213</v>
      </c>
      <c r="C15" s="60">
        <v>0</v>
      </c>
      <c r="D15" s="1"/>
    </row>
    <row r="16" spans="1:4" x14ac:dyDescent="0.25">
      <c r="A16" s="1"/>
      <c r="B16" s="59" t="s">
        <v>226</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KtgbXQcHvlC3xNWXi7rLtrBPVxGWDIGt89GFxhFzPJAVTVuqX0sGcbYaIJvqj+l0d5PJa4ml8eJzaoL4b+F/3g==" saltValue="wN868H7Qgt9TiSAM/KOFvg=="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156</v>
      </c>
      <c r="C3" s="103"/>
      <c r="D3" s="103"/>
      <c r="E3" s="1"/>
    </row>
    <row r="4" spans="1:5" ht="15" customHeight="1" x14ac:dyDescent="0.25">
      <c r="A4" s="1"/>
      <c r="B4" s="103"/>
      <c r="C4" s="103"/>
      <c r="D4" s="103"/>
      <c r="E4" s="1"/>
    </row>
    <row r="5" spans="1:5" x14ac:dyDescent="0.25">
      <c r="A5" s="1"/>
      <c r="B5" s="104" t="s">
        <v>144</v>
      </c>
      <c r="C5" s="104"/>
      <c r="D5" s="104"/>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128374415.53083777</v>
      </c>
      <c r="D9" s="8" t="s">
        <v>3</v>
      </c>
      <c r="E9" s="1"/>
    </row>
    <row r="10" spans="1:5" ht="15" customHeight="1" x14ac:dyDescent="0.25">
      <c r="A10" s="1"/>
      <c r="B10" s="26" t="s">
        <v>19</v>
      </c>
      <c r="C10" s="7">
        <f>C9*'Fane 15. Nøgletal'!C10</f>
        <v>8511223.7496945448</v>
      </c>
      <c r="D10" s="8" t="s">
        <v>3</v>
      </c>
      <c r="E10" s="1"/>
    </row>
    <row r="11" spans="1:5" ht="15" customHeight="1" x14ac:dyDescent="0.25">
      <c r="A11" s="1"/>
      <c r="B11" s="26" t="s">
        <v>10</v>
      </c>
      <c r="C11" s="9">
        <f>-SUM(C9:C10)*'Fane 5. Individuelt eff. krav'!C9</f>
        <v>-418662.23328601953</v>
      </c>
      <c r="D11" s="8" t="s">
        <v>3</v>
      </c>
      <c r="E11" s="1"/>
    </row>
    <row r="12" spans="1:5" ht="15" customHeight="1" x14ac:dyDescent="0.25">
      <c r="A12" s="1"/>
      <c r="B12" s="26" t="s">
        <v>22</v>
      </c>
      <c r="C12" s="9">
        <f>-'Fane 4.1. Gen. krav - drift'!C22</f>
        <v>-965591.81034266099</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135501385.23690364</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6138519.7043412123</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141639904.94124484</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gKdG5Dlnr/azBkG7iyIIiyuRpru68t4NuIJ9hzhEcHuSoNN3+OTHuHpk/4e5GiSfqmR7a4h2xG40YHP3TVKjDQ==" saltValue="09tmv+0DWRpWp8DNK9P1S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157</v>
      </c>
      <c r="C3" s="103"/>
      <c r="D3" s="103"/>
      <c r="E3" s="1"/>
    </row>
    <row r="4" spans="1:5" ht="15" customHeight="1" x14ac:dyDescent="0.25">
      <c r="A4" s="1"/>
      <c r="B4" s="103"/>
      <c r="C4" s="103"/>
      <c r="D4" s="103"/>
      <c r="E4" s="1"/>
    </row>
    <row r="5" spans="1:5" x14ac:dyDescent="0.25">
      <c r="A5" s="1"/>
      <c r="B5" s="104" t="s">
        <v>144</v>
      </c>
      <c r="C5" s="104"/>
      <c r="D5" s="104"/>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135501385.23690364</v>
      </c>
      <c r="D9" s="8" t="s">
        <v>3</v>
      </c>
      <c r="E9" s="1"/>
    </row>
    <row r="10" spans="1:5" ht="15" customHeight="1" x14ac:dyDescent="0.25">
      <c r="A10" s="1"/>
      <c r="B10" s="26" t="s">
        <v>19</v>
      </c>
      <c r="C10" s="7">
        <f>SUM(C9:C9)*'Fane 15. Nøgletal'!C10</f>
        <v>8983741.8412067108</v>
      </c>
      <c r="D10" s="8" t="s">
        <v>3</v>
      </c>
      <c r="E10" s="1"/>
    </row>
    <row r="11" spans="1:5" ht="15" customHeight="1" x14ac:dyDescent="0.25">
      <c r="A11" s="1"/>
      <c r="B11" s="26" t="s">
        <v>10</v>
      </c>
      <c r="C11" s="9">
        <f>-SUM(C9:C10)*'Fane 5. Individuelt eff. krav'!C9</f>
        <v>-441905.12823019613</v>
      </c>
      <c r="D11" s="8" t="s">
        <v>3</v>
      </c>
      <c r="E11" s="1"/>
    </row>
    <row r="12" spans="1:5" ht="15" customHeight="1" x14ac:dyDescent="0.25">
      <c r="A12" s="1"/>
      <c r="B12" s="26" t="s">
        <v>22</v>
      </c>
      <c r="C12" s="9">
        <f>-'Fane 4.1. Gen. krav - drift'!C27</f>
        <v>-1009018.3364210118</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143034203.61345914</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6545503.5607390348</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149579707.17419818</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Ihis6IbQc/6v+inz2T7yJIJQao9CwxY1yzz7gFenKPODFhW5chW58sPF9nnLxULIns0kpqGfvzdUSufValZYeg==" saltValue="fa4TJ2Q+cdphBjfuR2q40A=="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158</v>
      </c>
      <c r="C3" s="103"/>
      <c r="D3" s="103"/>
      <c r="E3" s="1"/>
    </row>
    <row r="4" spans="1:5" ht="15" customHeight="1" x14ac:dyDescent="0.25">
      <c r="A4" s="1"/>
      <c r="B4" s="103"/>
      <c r="C4" s="103"/>
      <c r="D4" s="103"/>
      <c r="E4" s="1"/>
    </row>
    <row r="5" spans="1:5" x14ac:dyDescent="0.25">
      <c r="A5" s="1"/>
      <c r="B5" s="104" t="s">
        <v>144</v>
      </c>
      <c r="C5" s="104"/>
      <c r="D5" s="104"/>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143034203.61345914</v>
      </c>
      <c r="D9" s="8" t="s">
        <v>3</v>
      </c>
      <c r="E9" s="1"/>
    </row>
    <row r="10" spans="1:5" ht="15" customHeight="1" x14ac:dyDescent="0.25">
      <c r="A10" s="1"/>
      <c r="B10" s="26" t="s">
        <v>19</v>
      </c>
      <c r="C10" s="7">
        <f>SUM(C9:C9)*'Fane 15. Nøgletal'!C10</f>
        <v>9483167.6995723415</v>
      </c>
      <c r="D10" s="8" t="s">
        <v>3</v>
      </c>
      <c r="E10" s="1"/>
    </row>
    <row r="11" spans="1:5" ht="15" customHeight="1" x14ac:dyDescent="0.25">
      <c r="A11" s="1"/>
      <c r="B11" s="26" t="s">
        <v>10</v>
      </c>
      <c r="C11" s="9">
        <f>-SUM(C9:C10)*'Fane 5. Individuelt eff. krav'!C9</f>
        <v>-466471.60085190891</v>
      </c>
      <c r="D11" s="8" t="s">
        <v>3</v>
      </c>
      <c r="E11" s="1"/>
    </row>
    <row r="12" spans="1:5" ht="15" customHeight="1" x14ac:dyDescent="0.25">
      <c r="A12" s="1"/>
      <c r="B12" s="26" t="s">
        <v>22</v>
      </c>
      <c r="C12" s="9">
        <f>-'Fane 4.1. Gen. krav - drift'!C32</f>
        <v>-1054397.9270832106</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150996501.78509635</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6979470.4468160337</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157975972.23191237</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PFZEXpeJ/gVS7KFZmVxhmTbLkPzcRA+2U8SI5arEiLShgInjJt1Ve8VWfbLtof+5PaHRKcr3Fb4Gyxc2IyXteg==" saltValue="+taAixzt29AXj6VFv7/A/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3.140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5" t="s">
        <v>161</v>
      </c>
      <c r="C3" s="105"/>
      <c r="D3" s="105"/>
      <c r="E3" s="1"/>
    </row>
    <row r="4" spans="1:5" ht="15" customHeight="1" x14ac:dyDescent="0.25">
      <c r="A4" s="1"/>
      <c r="B4" s="105"/>
      <c r="C4" s="105"/>
      <c r="D4" s="105"/>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105852457.23916899</v>
      </c>
      <c r="D9" s="8" t="s">
        <v>3</v>
      </c>
      <c r="E9" s="1"/>
    </row>
    <row r="10" spans="1:5" ht="15" customHeight="1" x14ac:dyDescent="0.25">
      <c r="A10" s="1"/>
      <c r="B10" s="64" t="s">
        <v>35</v>
      </c>
      <c r="C10" s="7">
        <v>3689021.1455999999</v>
      </c>
      <c r="D10" s="8" t="s">
        <v>3</v>
      </c>
      <c r="E10" s="1"/>
    </row>
    <row r="11" spans="1:5" ht="15" customHeight="1" x14ac:dyDescent="0.25">
      <c r="A11" s="1"/>
      <c r="B11" s="64" t="s">
        <v>36</v>
      </c>
      <c r="C11" s="9">
        <v>1926236.3455999999</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9006591.3502138127</v>
      </c>
      <c r="D16" s="8" t="s">
        <v>3</v>
      </c>
      <c r="E16" s="1"/>
    </row>
    <row r="17" spans="1:5" ht="15" customHeight="1" x14ac:dyDescent="0.25">
      <c r="A17" s="1"/>
      <c r="B17" s="64" t="s">
        <v>10</v>
      </c>
      <c r="C17" s="38">
        <v>-368468.46975607838</v>
      </c>
      <c r="D17" s="8" t="s">
        <v>3</v>
      </c>
      <c r="E17" s="1"/>
    </row>
    <row r="18" spans="1:5" ht="15" customHeight="1" x14ac:dyDescent="0.25">
      <c r="A18" s="1"/>
      <c r="B18" s="64" t="s">
        <v>22</v>
      </c>
      <c r="C18" s="38">
        <v>-871481.3178323782</v>
      </c>
      <c r="D18" s="8" t="s">
        <v>3</v>
      </c>
      <c r="E18" s="1"/>
    </row>
    <row r="19" spans="1:5" ht="15" customHeight="1" x14ac:dyDescent="0.25">
      <c r="A19" s="1"/>
      <c r="B19" s="64" t="s">
        <v>23</v>
      </c>
      <c r="C19" s="38">
        <v>0</v>
      </c>
      <c r="D19" s="8" t="s">
        <v>3</v>
      </c>
      <c r="E19" s="43"/>
    </row>
    <row r="20" spans="1:5" ht="15" customHeight="1" x14ac:dyDescent="0.25">
      <c r="A20" s="1"/>
      <c r="B20" s="81" t="s">
        <v>21</v>
      </c>
      <c r="C20" s="10">
        <v>119234356.29299434</v>
      </c>
      <c r="D20" s="11" t="s">
        <v>3</v>
      </c>
      <c r="E20" s="1"/>
    </row>
    <row r="21" spans="1:5" ht="15" customHeight="1" x14ac:dyDescent="0.25">
      <c r="A21" s="1"/>
      <c r="B21" s="33" t="s">
        <v>12</v>
      </c>
      <c r="C21" s="28"/>
      <c r="D21" s="19"/>
      <c r="E21" s="1"/>
    </row>
    <row r="22" spans="1:5" ht="15" customHeight="1" x14ac:dyDescent="0.25">
      <c r="A22" s="1"/>
      <c r="B22" s="31" t="s">
        <v>12</v>
      </c>
      <c r="C22" s="10">
        <v>3657635.3679336128</v>
      </c>
      <c r="D22" s="11" t="s">
        <v>3</v>
      </c>
      <c r="E22" s="1"/>
    </row>
    <row r="23" spans="1:5" ht="15" customHeight="1" x14ac:dyDescent="0.25">
      <c r="A23" s="1"/>
      <c r="B23" s="33" t="s">
        <v>42</v>
      </c>
      <c r="C23" s="28"/>
      <c r="D23" s="19"/>
      <c r="E23" s="1"/>
    </row>
    <row r="24" spans="1:5" ht="15" customHeight="1" x14ac:dyDescent="0.25">
      <c r="A24" s="1"/>
      <c r="B24" s="81" t="s">
        <v>42</v>
      </c>
      <c r="C24" s="10">
        <v>0</v>
      </c>
      <c r="D24" s="11" t="s">
        <v>3</v>
      </c>
      <c r="E24" s="1"/>
    </row>
    <row r="25" spans="1:5" x14ac:dyDescent="0.25">
      <c r="A25" s="1"/>
      <c r="B25" s="41" t="s">
        <v>41</v>
      </c>
      <c r="C25" s="39"/>
      <c r="D25" s="40"/>
      <c r="E25" s="1"/>
    </row>
    <row r="26" spans="1:5" ht="15" customHeight="1" x14ac:dyDescent="0.25">
      <c r="A26" s="1"/>
      <c r="B26" s="64" t="s">
        <v>89</v>
      </c>
      <c r="C26" s="38">
        <v>593767.96461248002</v>
      </c>
      <c r="D26" s="8" t="s">
        <v>3</v>
      </c>
      <c r="E26" s="1"/>
    </row>
    <row r="27" spans="1:5" ht="15" customHeight="1" x14ac:dyDescent="0.25">
      <c r="A27" s="1"/>
      <c r="B27" s="64" t="s">
        <v>38</v>
      </c>
      <c r="C27" s="38">
        <v>0</v>
      </c>
      <c r="D27" s="8" t="s">
        <v>3</v>
      </c>
      <c r="E27" s="1"/>
    </row>
    <row r="28" spans="1:5" ht="15" customHeight="1" x14ac:dyDescent="0.25">
      <c r="A28" s="1"/>
      <c r="B28" s="64" t="s">
        <v>92</v>
      </c>
      <c r="C28" s="38">
        <v>-13691.387791841878</v>
      </c>
      <c r="D28" s="8" t="s">
        <v>3</v>
      </c>
      <c r="E28" s="1"/>
    </row>
    <row r="29" spans="1:5" ht="15" customHeight="1" x14ac:dyDescent="0.25">
      <c r="A29" s="1"/>
      <c r="B29" s="64" t="s">
        <v>93</v>
      </c>
      <c r="C29" s="38">
        <v>0</v>
      </c>
      <c r="D29" s="8" t="s">
        <v>3</v>
      </c>
      <c r="E29" s="1"/>
    </row>
    <row r="30" spans="1:5" ht="15" customHeight="1" x14ac:dyDescent="0.25">
      <c r="A30" s="1"/>
      <c r="B30" s="67" t="s">
        <v>43</v>
      </c>
      <c r="C30" s="10">
        <v>580076.57682063815</v>
      </c>
      <c r="D30" s="11" t="s">
        <v>3</v>
      </c>
      <c r="E30" s="1"/>
    </row>
    <row r="31" spans="1:5" ht="15" customHeight="1" x14ac:dyDescent="0.25">
      <c r="A31" s="1"/>
      <c r="B31" s="33" t="s">
        <v>69</v>
      </c>
      <c r="C31" s="28"/>
      <c r="D31" s="19"/>
      <c r="E31" s="1"/>
    </row>
    <row r="32" spans="1:5" ht="15" customHeight="1" x14ac:dyDescent="0.25">
      <c r="A32" s="1"/>
      <c r="B32" s="31" t="s">
        <v>79</v>
      </c>
      <c r="C32" s="10">
        <v>-42406</v>
      </c>
      <c r="D32" s="11" t="s">
        <v>3</v>
      </c>
      <c r="E32" s="1"/>
    </row>
    <row r="33" spans="1:5" x14ac:dyDescent="0.25">
      <c r="A33" s="1"/>
      <c r="B33" s="33" t="s">
        <v>128</v>
      </c>
      <c r="C33" s="28"/>
      <c r="D33" s="19"/>
      <c r="E33" s="1"/>
    </row>
    <row r="34" spans="1:5" ht="15.4" customHeight="1" x14ac:dyDescent="0.25">
      <c r="A34" s="1"/>
      <c r="B34" s="31" t="s">
        <v>223</v>
      </c>
      <c r="C34" s="10">
        <v>-5810080.2968752766</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3" t="s">
        <v>65</v>
      </c>
      <c r="C37" s="45">
        <v>117619581.94087331</v>
      </c>
      <c r="D37" s="30" t="s">
        <v>3</v>
      </c>
      <c r="E37" s="1"/>
    </row>
    <row r="38" spans="1:5" ht="30" customHeight="1" x14ac:dyDescent="0.25">
      <c r="A38" s="1"/>
      <c r="B38" s="106" t="s">
        <v>224</v>
      </c>
      <c r="C38" s="106"/>
      <c r="D38" s="106"/>
      <c r="E38" s="1"/>
    </row>
    <row r="39" spans="1:5" x14ac:dyDescent="0.25">
      <c r="A39" s="1"/>
      <c r="B39" s="1"/>
      <c r="C39" s="1"/>
      <c r="D39" s="1"/>
      <c r="E39" s="1"/>
    </row>
    <row r="40" spans="1:5" ht="27" customHeight="1"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yT04SfbJrmmh8yWpAjd03D4JggetPc1Jaq8wq608rg6NxHvL0HQphikU8JfUc7wY9aZzC11Ps27o1zFX99K80w==" saltValue="CDcxImP1lutrTREdCVd4QA=="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5" t="s">
        <v>56</v>
      </c>
      <c r="C3" s="105"/>
      <c r="D3" s="105"/>
      <c r="E3" s="1"/>
    </row>
    <row r="4" spans="1:5" ht="15" customHeight="1" x14ac:dyDescent="0.25">
      <c r="A4" s="1"/>
      <c r="B4" s="105"/>
      <c r="C4" s="105"/>
      <c r="D4" s="105"/>
      <c r="E4" s="1"/>
    </row>
    <row r="5" spans="1:5" ht="15" customHeight="1" x14ac:dyDescent="0.25">
      <c r="A5" s="1"/>
      <c r="B5" s="105"/>
      <c r="C5" s="105"/>
      <c r="D5" s="105"/>
      <c r="E5" s="1"/>
    </row>
    <row r="6" spans="1:5" ht="15" customHeight="1" x14ac:dyDescent="0.25">
      <c r="A6" s="1"/>
      <c r="B6" s="74"/>
      <c r="C6" s="74"/>
      <c r="D6" s="74"/>
      <c r="E6" s="1"/>
    </row>
    <row r="7" spans="1:5" x14ac:dyDescent="0.25">
      <c r="A7" s="1"/>
      <c r="B7" s="1"/>
      <c r="C7" s="1"/>
      <c r="D7" s="1"/>
      <c r="E7" s="1"/>
    </row>
    <row r="8" spans="1:5" x14ac:dyDescent="0.25">
      <c r="A8" s="1"/>
      <c r="B8" s="107" t="s">
        <v>123</v>
      </c>
      <c r="C8" s="108"/>
      <c r="D8" s="109"/>
      <c r="E8" s="1"/>
    </row>
    <row r="9" spans="1:5" x14ac:dyDescent="0.25">
      <c r="A9" s="1"/>
      <c r="B9" s="65" t="s">
        <v>88</v>
      </c>
      <c r="C9" s="23">
        <v>39586971.837454446</v>
      </c>
      <c r="D9" s="14" t="s">
        <v>3</v>
      </c>
      <c r="E9" s="1"/>
    </row>
    <row r="10" spans="1:5" x14ac:dyDescent="0.25">
      <c r="A10" s="1"/>
      <c r="B10" s="65" t="s">
        <v>125</v>
      </c>
      <c r="C10" s="23">
        <f>('Fane 3. Omkostninger i ØR2024'!C10+'Fane 3. Omkostninger i ØR2024'!C12+'Fane 3. Omkostninger i ØR2024'!C14)*(1+'Fane 15. Nøgletal'!C9)</f>
        <v>3987094.05416448</v>
      </c>
      <c r="D10" s="14" t="s">
        <v>3</v>
      </c>
      <c r="E10" s="1"/>
    </row>
    <row r="11" spans="1:5" x14ac:dyDescent="0.25">
      <c r="A11" s="1"/>
      <c r="B11" s="65" t="s">
        <v>131</v>
      </c>
      <c r="C11" s="23">
        <f>C9*'Fane 15. Nøgletal'!C21+C10*'Fane 15. Nøgletal'!C21</f>
        <v>871481.31783237855</v>
      </c>
      <c r="D11" s="14" t="s">
        <v>3</v>
      </c>
      <c r="E11" s="1"/>
    </row>
    <row r="12" spans="1:5" x14ac:dyDescent="0.25">
      <c r="A12" s="1"/>
      <c r="B12" s="33"/>
      <c r="C12" s="28"/>
      <c r="D12" s="19"/>
      <c r="E12" s="1"/>
    </row>
    <row r="13" spans="1:5" x14ac:dyDescent="0.25">
      <c r="A13" s="1"/>
      <c r="B13" s="1"/>
      <c r="C13" s="1"/>
      <c r="D13" s="1"/>
      <c r="E13" s="1"/>
    </row>
    <row r="14" spans="1:5" x14ac:dyDescent="0.25">
      <c r="A14" s="1"/>
      <c r="B14" s="107" t="s">
        <v>124</v>
      </c>
      <c r="C14" s="108"/>
      <c r="D14" s="109"/>
      <c r="E14" s="1"/>
    </row>
    <row r="15" spans="1:5" x14ac:dyDescent="0.25">
      <c r="A15" s="1"/>
      <c r="B15" s="65" t="s">
        <v>133</v>
      </c>
      <c r="C15" s="23">
        <f>(C9+C10-C11)*(1+'Fane 15. Nøgletal'!C9)</f>
        <v>46152953.407348491</v>
      </c>
      <c r="D15" s="14" t="s">
        <v>3</v>
      </c>
      <c r="E15" s="1"/>
    </row>
    <row r="16" spans="1:5" x14ac:dyDescent="0.25">
      <c r="A16" s="1"/>
      <c r="B16" s="65" t="s">
        <v>184</v>
      </c>
      <c r="C16" s="23">
        <f>('Fane 2.1. Økonomisk ramme 2025'!C10+'Fane 2.1. Økonomisk ramme 2025'!C12+'Fane 2.1. Økonomisk ramme 2025'!C14)*(1+'Fane 15. Nøgletal'!C10)</f>
        <v>48761.197161340002</v>
      </c>
      <c r="D16" s="14" t="s">
        <v>3</v>
      </c>
      <c r="E16" s="1"/>
    </row>
    <row r="17" spans="1:5" x14ac:dyDescent="0.25">
      <c r="A17" s="1"/>
      <c r="B17" s="65" t="s">
        <v>132</v>
      </c>
      <c r="C17" s="23">
        <f>C15*'Fane 15. Nøgletal'!C21+C16*'Fane 15. Nøgletal'!C21</f>
        <v>924034.29209019674</v>
      </c>
      <c r="D17" s="14" t="s">
        <v>3</v>
      </c>
      <c r="E17" s="1"/>
    </row>
    <row r="18" spans="1:5" x14ac:dyDescent="0.25">
      <c r="A18" s="1"/>
      <c r="B18" s="33"/>
      <c r="C18" s="28"/>
      <c r="D18" s="19"/>
      <c r="E18" s="1"/>
    </row>
    <row r="19" spans="1:5" x14ac:dyDescent="0.25">
      <c r="A19" s="1"/>
      <c r="B19" s="1"/>
      <c r="C19" s="63"/>
      <c r="D19" s="1"/>
      <c r="E19" s="1"/>
    </row>
    <row r="20" spans="1:5" x14ac:dyDescent="0.25">
      <c r="A20" s="1"/>
      <c r="B20" s="107" t="s">
        <v>145</v>
      </c>
      <c r="C20" s="108"/>
      <c r="D20" s="109"/>
      <c r="E20" s="1"/>
    </row>
    <row r="21" spans="1:5" x14ac:dyDescent="0.25">
      <c r="A21" s="1"/>
      <c r="B21" s="65" t="s">
        <v>189</v>
      </c>
      <c r="C21" s="23">
        <f>(C15+C16-C17)*(1+'Fane 15. Nøgletal'!C10)</f>
        <v>48279590.51713305</v>
      </c>
      <c r="D21" s="14" t="s">
        <v>3</v>
      </c>
      <c r="E21" s="1"/>
    </row>
    <row r="22" spans="1:5" x14ac:dyDescent="0.25">
      <c r="A22" s="1"/>
      <c r="B22" s="65" t="s">
        <v>196</v>
      </c>
      <c r="C22" s="23">
        <f>C21*'Fane 15. Nøgletal'!C21</f>
        <v>965591.81034266099</v>
      </c>
      <c r="D22" s="14" t="s">
        <v>3</v>
      </c>
      <c r="E22" s="1"/>
    </row>
    <row r="23" spans="1:5" x14ac:dyDescent="0.25">
      <c r="A23" s="1"/>
      <c r="B23" s="33"/>
      <c r="C23" s="28"/>
      <c r="D23" s="19"/>
      <c r="E23" s="1"/>
    </row>
    <row r="24" spans="1:5" x14ac:dyDescent="0.25">
      <c r="A24" s="1"/>
      <c r="B24" s="1"/>
      <c r="C24" s="1"/>
      <c r="D24" s="1"/>
      <c r="E24" s="1"/>
    </row>
    <row r="25" spans="1:5" x14ac:dyDescent="0.25">
      <c r="A25" s="1"/>
      <c r="B25" s="107" t="s">
        <v>187</v>
      </c>
      <c r="C25" s="108"/>
      <c r="D25" s="109"/>
      <c r="E25" s="1"/>
    </row>
    <row r="26" spans="1:5" x14ac:dyDescent="0.25">
      <c r="A26" s="1"/>
      <c r="B26" s="65" t="s">
        <v>190</v>
      </c>
      <c r="C26" s="23">
        <f>(C21-C22)*(1+'Fane 15. Nøgletal'!C10)</f>
        <v>50450916.821050592</v>
      </c>
      <c r="D26" s="14" t="s">
        <v>3</v>
      </c>
      <c r="E26" s="1"/>
    </row>
    <row r="27" spans="1:5" x14ac:dyDescent="0.25">
      <c r="A27" s="1"/>
      <c r="B27" s="65" t="s">
        <v>194</v>
      </c>
      <c r="C27" s="23">
        <f>C26*'Fane 15. Nøgletal'!C21</f>
        <v>1009018.3364210118</v>
      </c>
      <c r="D27" s="14" t="s">
        <v>3</v>
      </c>
      <c r="E27" s="1"/>
    </row>
    <row r="28" spans="1:5" x14ac:dyDescent="0.25">
      <c r="A28" s="1"/>
      <c r="B28" s="33"/>
      <c r="C28" s="28"/>
      <c r="D28" s="19"/>
      <c r="E28" s="1"/>
    </row>
    <row r="29" spans="1:5" x14ac:dyDescent="0.25">
      <c r="A29" s="1"/>
      <c r="B29" s="1"/>
      <c r="C29" s="1"/>
      <c r="D29" s="1"/>
      <c r="E29" s="1"/>
    </row>
    <row r="30" spans="1:5" x14ac:dyDescent="0.25">
      <c r="A30" s="1"/>
      <c r="B30" s="107" t="s">
        <v>188</v>
      </c>
      <c r="C30" s="108"/>
      <c r="D30" s="109"/>
      <c r="E30" s="1"/>
    </row>
    <row r="31" spans="1:5" x14ac:dyDescent="0.25">
      <c r="A31" s="1"/>
      <c r="B31" s="65" t="s">
        <v>191</v>
      </c>
      <c r="C31" s="23">
        <f>(C26-C27)*(1+'Fane 15. Nøgletal'!C10)</f>
        <v>52719896.354160525</v>
      </c>
      <c r="D31" s="14" t="s">
        <v>3</v>
      </c>
      <c r="E31" s="1"/>
    </row>
    <row r="32" spans="1:5" x14ac:dyDescent="0.25">
      <c r="A32" s="1"/>
      <c r="B32" s="65" t="s">
        <v>195</v>
      </c>
      <c r="C32" s="23">
        <f>C31*'Fane 15. Nøgletal'!C21</f>
        <v>1054397.9270832106</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ew8YZF4I3f0vEO7R/DLm9COerNK6WjUecMD0hg2UFG7n8f3siOwahjnIjU9rYTT2aQT//SRyV4+0eYB+Fl5c8g==" saltValue="A5LnmlWASzTKmYkY82pVHA=="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0" t="s">
        <v>57</v>
      </c>
      <c r="C3" s="110"/>
      <c r="D3" s="110"/>
      <c r="E3" s="1"/>
    </row>
    <row r="4" spans="1:5" ht="15" customHeight="1" x14ac:dyDescent="0.25">
      <c r="A4" s="1"/>
      <c r="B4" s="110"/>
      <c r="C4" s="110"/>
      <c r="D4" s="110"/>
      <c r="E4" s="1"/>
    </row>
    <row r="5" spans="1:5" ht="15" customHeight="1" x14ac:dyDescent="0.25">
      <c r="A5" s="1"/>
      <c r="B5" s="110"/>
      <c r="C5" s="110"/>
      <c r="D5" s="110"/>
      <c r="E5" s="1"/>
    </row>
    <row r="6" spans="1:5" ht="15" customHeight="1" x14ac:dyDescent="0.35">
      <c r="A6" s="1"/>
      <c r="B6" s="69"/>
      <c r="C6" s="69"/>
      <c r="D6" s="69"/>
      <c r="E6" s="1"/>
    </row>
    <row r="7" spans="1:5" x14ac:dyDescent="0.25">
      <c r="A7" s="1"/>
      <c r="B7" s="1"/>
      <c r="C7" s="1"/>
      <c r="D7" s="1"/>
      <c r="E7" s="1"/>
    </row>
    <row r="8" spans="1:5" x14ac:dyDescent="0.25">
      <c r="A8" s="1"/>
      <c r="B8" s="107" t="s">
        <v>147</v>
      </c>
      <c r="C8" s="108"/>
      <c r="D8" s="109"/>
      <c r="E8" s="1"/>
    </row>
    <row r="9" spans="1:5" x14ac:dyDescent="0.25">
      <c r="A9" s="1"/>
      <c r="B9" s="65" t="s">
        <v>134</v>
      </c>
      <c r="C9" s="23">
        <v>84866738.412483469</v>
      </c>
      <c r="D9" s="14" t="s">
        <v>3</v>
      </c>
      <c r="E9" s="1"/>
    </row>
    <row r="10" spans="1:5" x14ac:dyDescent="0.25">
      <c r="A10" s="1"/>
      <c r="B10" s="65" t="s">
        <v>126</v>
      </c>
      <c r="C10" s="23">
        <f>('Fane 3. Omkostninger i ØR2024'!C11+'Fane 3. Omkostninger i ØR2024'!C13+'Fane 3. Omkostninger i ØR2024'!C15)*(1+'Fane 15. Nøgletal'!C9)</f>
        <v>2081876.2423244799</v>
      </c>
      <c r="D10" s="14" t="s">
        <v>3</v>
      </c>
      <c r="E10" s="1"/>
    </row>
    <row r="11" spans="1:5" x14ac:dyDescent="0.25">
      <c r="A11" s="1"/>
      <c r="B11" s="65" t="s">
        <v>135</v>
      </c>
      <c r="C11" s="2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7" t="s">
        <v>146</v>
      </c>
      <c r="C14" s="108"/>
      <c r="D14" s="109"/>
      <c r="E14" s="1"/>
    </row>
    <row r="15" spans="1:5" x14ac:dyDescent="0.25">
      <c r="A15" s="1"/>
      <c r="B15" s="65" t="s">
        <v>136</v>
      </c>
      <c r="C15" s="23">
        <f>(C9+C10-C11)*(1+'Fane 15. Nøgletal'!C9)</f>
        <v>93974062.718916431</v>
      </c>
      <c r="D15" s="14" t="s">
        <v>3</v>
      </c>
      <c r="E15" s="1"/>
    </row>
    <row r="16" spans="1:5" x14ac:dyDescent="0.25">
      <c r="A16" s="1"/>
      <c r="B16" s="65" t="s">
        <v>185</v>
      </c>
      <c r="C16" s="23">
        <f>('Fane 2.1. Økonomisk ramme 2025'!C11+'Fane 2.1. Økonomisk ramme 2025'!C13+'Fane 2.1. Økonomisk ramme 2025'!C15)*(1+'Fane 15. Nøgletal'!C10)</f>
        <v>777866.50534797995</v>
      </c>
      <c r="D16" s="14" t="s">
        <v>3</v>
      </c>
      <c r="E16" s="1"/>
    </row>
    <row r="17" spans="1:5" x14ac:dyDescent="0.25">
      <c r="A17" s="1"/>
      <c r="B17" s="65" t="s">
        <v>137</v>
      </c>
      <c r="C17" s="2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7" t="s">
        <v>82</v>
      </c>
      <c r="C20" s="108"/>
      <c r="D20" s="109"/>
      <c r="E20" s="1"/>
    </row>
    <row r="21" spans="1:5" x14ac:dyDescent="0.25">
      <c r="A21" s="1"/>
      <c r="B21" s="65" t="s">
        <v>192</v>
      </c>
      <c r="C21" s="23">
        <f>(C15+C16-C17)*(1+'Fane 15. Nøgletal'!C10)</f>
        <v>101033982.13183315</v>
      </c>
      <c r="D21" s="14" t="s">
        <v>3</v>
      </c>
      <c r="E21" s="1"/>
    </row>
    <row r="22" spans="1:5" x14ac:dyDescent="0.25">
      <c r="A22" s="1"/>
      <c r="B22" s="65" t="s">
        <v>197</v>
      </c>
      <c r="C22" s="2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7" t="s">
        <v>138</v>
      </c>
      <c r="C25" s="108"/>
      <c r="D25" s="109"/>
      <c r="E25" s="1"/>
    </row>
    <row r="26" spans="1:5" x14ac:dyDescent="0.25">
      <c r="A26" s="1"/>
      <c r="B26" s="65" t="s">
        <v>193</v>
      </c>
      <c r="C26" s="23">
        <f>(C21-C22)*(1+'Fane 15. Nøgletal'!C10)</f>
        <v>107732535.14717369</v>
      </c>
      <c r="D26" s="14" t="s">
        <v>3</v>
      </c>
      <c r="E26" s="1"/>
    </row>
    <row r="27" spans="1:5" x14ac:dyDescent="0.25">
      <c r="A27" s="1"/>
      <c r="B27" s="65" t="s">
        <v>198</v>
      </c>
      <c r="C27" s="2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7" t="s">
        <v>163</v>
      </c>
      <c r="C30" s="108"/>
      <c r="D30" s="109"/>
      <c r="E30" s="1"/>
    </row>
    <row r="31" spans="1:5" x14ac:dyDescent="0.25">
      <c r="A31" s="1"/>
      <c r="B31" s="65" t="s">
        <v>200</v>
      </c>
      <c r="C31" s="23">
        <f>(C26-C27)*(1+'Fane 15. Nøgletal'!C10)</f>
        <v>114875202.22743131</v>
      </c>
      <c r="D31" s="14" t="s">
        <v>3</v>
      </c>
      <c r="E31" s="1"/>
    </row>
    <row r="32" spans="1:5" x14ac:dyDescent="0.25">
      <c r="A32" s="1"/>
      <c r="B32" s="65" t="s">
        <v>199</v>
      </c>
      <c r="C32" s="2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lG71GDX+e0BrrDzKL7bsokK5iu2uuYdPGgdyNjRcbl+3kAWH4Aaw82FJdurOWX/L821eW5RpJi06WRq7LhN6Xw==" saltValue="Is/cMYcsQLVERnKv0pr0NA=="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3" t="s">
        <v>44</v>
      </c>
      <c r="C3" s="103"/>
      <c r="D3" s="1"/>
    </row>
    <row r="4" spans="1:4" ht="15" customHeight="1" x14ac:dyDescent="0.25">
      <c r="A4" s="1"/>
      <c r="B4" s="103"/>
      <c r="C4" s="103"/>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7" t="s">
        <v>10</v>
      </c>
      <c r="C8" s="109"/>
      <c r="D8" s="1"/>
    </row>
    <row r="9" spans="1:4" x14ac:dyDescent="0.25">
      <c r="A9" s="1"/>
      <c r="B9" s="65" t="s">
        <v>164</v>
      </c>
      <c r="C9" s="22">
        <v>3.0584817770987396E-3</v>
      </c>
      <c r="D9" s="1"/>
    </row>
    <row r="10" spans="1:4" x14ac:dyDescent="0.25">
      <c r="A10" s="1"/>
      <c r="B10" s="33"/>
      <c r="C10" s="19"/>
      <c r="D10" s="1"/>
    </row>
    <row r="11" spans="1:4" x14ac:dyDescent="0.25">
      <c r="A11" s="1"/>
      <c r="B11" s="111" t="s">
        <v>218</v>
      </c>
      <c r="C11" s="112"/>
      <c r="D11" s="1"/>
    </row>
    <row r="12" spans="1:4" x14ac:dyDescent="0.25">
      <c r="A12" s="1"/>
      <c r="B12" s="113"/>
      <c r="C12" s="114"/>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lKF4/1K2LD9sZJftOfzVdAD3NQImiiwxfhyjxMndE//Tb+AKlNyIJOg0zAC03APmRRPHbFAgfC4uO8vploKTKQ==" saltValue="kt+J0FKJPyk/O+IQ0VH1AQ=="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2024-10-08T07:00:53Z</dcterms:modified>
</cp:coreProperties>
</file>