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Stenlien Vandværk a.m.b.a. (V173)\ØR2024\"/>
    </mc:Choice>
  </mc:AlternateContent>
  <xr:revisionPtr revIDLastSave="0" documentId="13_ncr:1_{4271ABC4-DB1D-4A72-8D7E-17EA638958AB}"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Korrektion af ØR22" sheetId="18" r:id="rId9"/>
    <sheet name="Fane 7. Skattesagen" sheetId="15" r:id="rId10"/>
    <sheet name="Fane 8. Anlægsprojekter (§ 19)" sheetId="9" r:id="rId11"/>
    <sheet name="Fane 9.1. Varige tillæg" sheetId="10" r:id="rId12"/>
    <sheet name="Fane 9.2. Engangstillæg" sheetId="11" r:id="rId13"/>
    <sheet name="Fane 10. Periodevise driftsomk." sheetId="19" r:id="rId14"/>
    <sheet name="Fane 11. Tilknyttet virksomhed" sheetId="12" r:id="rId15"/>
    <sheet name="Fane 12. Bortfald" sheetId="13" r:id="rId16"/>
    <sheet name="Fane 13. Nøgletal" sheetId="14" r:id="rId17"/>
  </sheets>
  <definedNames>
    <definedName name="Tabel_Fane_11">'Fane 11. Tilknyttet virksomhed'!$B$8:$F$14</definedName>
    <definedName name="Tabel_Fane_12">'Fane 12. Bortfald'!$B$9:$F$13</definedName>
    <definedName name="Tabel_Fane_2_1">'Fane 2.1. Økonomisk ramme 2024'!$B$8:$B$31</definedName>
    <definedName name="Tabel_Fane_2_2">'Fane 2.2. Økonomisk ramme 2025'!$B$7:$B$20</definedName>
    <definedName name="Tabel_Fane_2_3">'Fane 2.3. Økonomisk ramme 2026'!$B$7:$B$20</definedName>
    <definedName name="Tabel_Fane_2_4">'Fane 2.4. Økonomisk ramme 2027'!$B$7:$B$20</definedName>
    <definedName name="Tabel_Fane_3">'Fane 3. Omkostninger i ØR2023'!$B$8:$F$32</definedName>
    <definedName name="Tabel_Fane_7">'Fane 7. Skattesagen'!$B$8:$H$18</definedName>
    <definedName name="Tabel_Fane_9">'Fane 11.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1" i="19" l="1"/>
  <c r="E12" i="19" s="1"/>
  <c r="E27" i="19"/>
  <c r="E22" i="19"/>
  <c r="E17" i="19"/>
  <c r="E17" i="4" l="1"/>
  <c r="E17" i="3"/>
  <c r="E26" i="2"/>
  <c r="E23" i="16"/>
  <c r="E31" i="16" l="1"/>
  <c r="E33" i="16" s="1"/>
  <c r="E27" i="16"/>
  <c r="E9" i="2" l="1"/>
  <c r="E28" i="2" l="1"/>
  <c r="E26" i="19"/>
  <c r="E15" i="5" s="1"/>
  <c r="E21" i="19"/>
  <c r="E15" i="4" s="1"/>
  <c r="E16" i="19"/>
  <c r="E15" i="3" s="1"/>
  <c r="E19" i="2"/>
  <c r="D16" i="18"/>
  <c r="D12" i="18"/>
  <c r="D17" i="18" s="1"/>
  <c r="E19" i="5" l="1"/>
  <c r="E19" i="4"/>
  <c r="E19" i="3"/>
  <c r="E30"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21" i="2" l="1"/>
  <c r="E22" i="2"/>
  <c r="E23" i="2" l="1"/>
  <c r="E24" i="2" s="1"/>
  <c r="E17" i="2" l="1"/>
  <c r="E10" i="10" l="1"/>
  <c r="E16" i="10" l="1"/>
  <c r="E17" i="10" s="1"/>
  <c r="E10" i="2" l="1"/>
  <c r="E13" i="2" s="1"/>
  <c r="E14" i="2" l="1"/>
  <c r="E15" i="2" s="1"/>
  <c r="E31" i="2" s="1"/>
  <c r="E8" i="3" l="1"/>
  <c r="E9" i="3" s="1"/>
  <c r="E10" i="3" s="1"/>
  <c r="E11" i="3" s="1"/>
  <c r="E20" i="3" s="1"/>
  <c r="E8" i="4" l="1"/>
  <c r="E9" i="4" s="1"/>
  <c r="E10" i="4" l="1"/>
  <c r="E11" i="4" s="1"/>
  <c r="E20" i="4" s="1"/>
  <c r="E8" i="5" l="1"/>
  <c r="E9" i="5" s="1"/>
  <c r="E10" i="5" l="1"/>
  <c r="E11" i="5" s="1"/>
  <c r="E20" i="5" s="1"/>
</calcChain>
</file>

<file path=xl/sharedStrings.xml><?xml version="1.0" encoding="utf-8"?>
<sst xmlns="http://schemas.openxmlformats.org/spreadsheetml/2006/main" count="419" uniqueCount="179">
  <si>
    <t>Beskrivelse af investeringen</t>
  </si>
  <si>
    <t>Std. levetid (år)</t>
  </si>
  <si>
    <t>Afskrivning</t>
  </si>
  <si>
    <t>kr.</t>
  </si>
  <si>
    <t>Bilag A</t>
  </si>
  <si>
    <t>Indholdsfortegnelse</t>
  </si>
  <si>
    <t>Fane 2.1</t>
  </si>
  <si>
    <t>Fane 4</t>
  </si>
  <si>
    <t>Fane 5</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</si>
  <si>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</si>
  <si>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</si>
  <si>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</si>
  <si>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</si>
  <si>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</si>
  <si>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</si>
  <si>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</si>
  <si>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</si>
  <si>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</si>
  <si>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</si>
  <si>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</si>
  <si>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</si>
  <si>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</si>
  <si>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</si>
  <si>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</si>
  <si>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</si>
  <si>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</si>
  <si>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</si>
  <si>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</si>
  <si>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</si>
  <si>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</si>
  <si>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</si>
  <si>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</si>
  <si>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</si>
  <si>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</si>
  <si>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</si>
  <si>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</si>
  <si>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</si>
  <si>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</si>
  <si>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</si>
  <si>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</si>
  <si>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</si>
  <si>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</si>
  <si>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</si>
  <si>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</si>
  <si>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</si>
  <si>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</si>
  <si>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</si>
  <si>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</si>
  <si>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</si>
  <si>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</si>
  <si>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</si>
  <si>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</si>
  <si>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</si>
  <si>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</si>
  <si>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</si>
  <si>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</si>
  <si>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</si>
  <si>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</si>
  <si>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</si>
  <si>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</si>
  <si>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</si>
  <si>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</si>
  <si>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</si>
  <si>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</si>
  <si>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</si>
  <si>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</si>
  <si>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</si>
  <si>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</si>
  <si>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</si>
  <si>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</si>
  <si>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</si>
  <si>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</si>
  <si>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</si>
  <si>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</si>
  <si>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</si>
  <si>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</si>
  <si>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</si>
  <si>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</si>
  <si>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</si>
  <si>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</si>
  <si>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</si>
  <si>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</si>
  <si>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</si>
  <si>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9: Tilknyttet virksomhed under hovedvirksomheden</t>
  </si>
  <si>
    <t>Fane 10: Bortfald eller nedsættelse af omkostninger til mål, medfinansiering eller udvidelse</t>
  </si>
  <si>
    <t>Fane 11: Nøgletal</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</si>
  <si>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</si>
  <si>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</si>
  <si>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</si>
  <si>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</si>
  <si>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</si>
  <si>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</si>
  <si>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</si>
  <si>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</si>
  <si>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</si>
  <si>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</si>
  <si>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</si>
  <si>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</si>
  <si>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</si>
  <si>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</si>
  <si>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</si>
  <si>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</si>
  <si>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</si>
  <si>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</si>
  <si>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</si>
  <si>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</si>
  <si>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</si>
  <si>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</si>
  <si>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</si>
  <si>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</si>
  <si>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</si>
  <si>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</si>
  <si>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</si>
  <si>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</si>
  <si>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</si>
  <si>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</si>
  <si>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</si>
  <si>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</si>
  <si>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</si>
  <si>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</si>
  <si>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</si>
  <si>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</si>
  <si>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</si>
  <si>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</si>
  <si>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</si>
  <si>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</si>
  <si>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</si>
  <si>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Periodevise driftsomkostninger</t>
  </si>
  <si>
    <t>Øvrig korrektion af den økonomiske ramme</t>
  </si>
  <si>
    <t>Korrektion af den økonomiske ramme for 2021</t>
  </si>
  <si>
    <t xml:space="preserve">Økonomisk ramme for </t>
  </si>
  <si>
    <t>Korrektion af ØR22</t>
  </si>
  <si>
    <t>Fane 8</t>
  </si>
  <si>
    <t>Fane 9.1</t>
  </si>
  <si>
    <t>Fane 9.2</t>
  </si>
  <si>
    <t>Fane 12</t>
  </si>
  <si>
    <t>Fane 13</t>
  </si>
  <si>
    <t>Fane 7: Indtægter til tilbagebetaling som følge af skattesagen</t>
  </si>
  <si>
    <t>Fane 8: Anlægsprojekter igangsat senest den 1. marts 2016</t>
  </si>
  <si>
    <t>Fane 9.1: Varige tillæg</t>
  </si>
  <si>
    <t>Fane 9.2: Engangstillæg</t>
  </si>
  <si>
    <t>Fane 6: Korrektioner af den økonomiske ramme for 2022</t>
  </si>
  <si>
    <t>Korrektion af periodevise driftsomkostninger i de økonomiske rammer for 2022</t>
  </si>
  <si>
    <t>Samlede tillæg til periodevise driftsomkostninger jf. indmeldte oprensningsplan</t>
  </si>
  <si>
    <t>Faktisk periodevis driftsomkostning i 2022</t>
  </si>
  <si>
    <t>Difference (Korrektion)</t>
  </si>
  <si>
    <t>Korrektion af tidligere godkendte omkostninger til medfinansiering af klimatilpasningsprojekter</t>
  </si>
  <si>
    <t>Tidligere godkendt tillæg indregnet i den økonomiske ramme for 2022</t>
  </si>
  <si>
    <t>Faktisk omkostning til medfinansiering af klimatilpasningsprojekter i 2022</t>
  </si>
  <si>
    <t>Korrektioner af den økonomiske ramme for 2022 i alt</t>
  </si>
  <si>
    <t>Fane 10: Periodevise driftsomkostninger givet under prisloftsbekendtgørelsen</t>
  </si>
  <si>
    <t>Periodevise driftsomkostninger til de økonomiske rammer for 2024</t>
  </si>
  <si>
    <t>Periodevise driftsomkostninger i alt i 2022-prisniveau</t>
  </si>
  <si>
    <t>Periodevise driftsomkostninger i alt i 2024-prisniveau</t>
  </si>
  <si>
    <t>Periodevise driftsomkostninger til de økonomiske rammer for 2025</t>
  </si>
  <si>
    <t>Periodevise driftsomkostninger i alt i 2025-prisniveau</t>
  </si>
  <si>
    <t>Periodevise driftsomkostninger til de økonomiske rammer for 2026</t>
  </si>
  <si>
    <t>Periodevise driftsomkostninger i alt i 2026-prisniveau</t>
  </si>
  <si>
    <t>Periodevise driftsomkostninger til de økonomiske rammer for 2027</t>
  </si>
  <si>
    <t>Periodevise driftsomkostninger i alt i 2027-prisniveau</t>
  </si>
  <si>
    <t>Korrektion af den økonomiske ramme for 2022</t>
  </si>
  <si>
    <t xml:space="preserve">Note: Denne opgørelse er taget fra jeres økonomiske ramme for 2023. I kan derfor ikke komme med høringssvar til denne opgørelse. </t>
  </si>
  <si>
    <t>Ingen tilknyttet virksomhed under hovedvirksomheden</t>
  </si>
  <si>
    <t>Ingen bortfald eller nedsættelse</t>
  </si>
  <si>
    <t>Afgift til Forsyningssekretariatet</t>
  </si>
  <si>
    <t>Køb af ydelser og produkter fra andre vandselskaber reguleret af vandsektorloven</t>
  </si>
  <si>
    <t>Ejendomsskat</t>
  </si>
  <si>
    <t>Over/underdækning i 2021</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</si>
  <si>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</si>
  <si>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</si>
  <si>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</si>
  <si>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</si>
  <si>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</si>
  <si>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</si>
  <si>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</si>
  <si>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</si>
  <si>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</si>
  <si>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opfyldelse nye krav boringer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</si>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</sst>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165" fontId="7" fillId="3" borderId="1" xfId="4" applyNumberFormat="1" applyFont="1" applyFill="1" applyBorder="1" applyAlignment="1" applyProtection="1"/>
    <xf numFmtId="49" fontId="8" fillId="7" borderId="2" xfId="0" applyNumberFormat="1" applyFont="1" applyFill="1" applyBorder="1" applyAlignment="1" applyProtection="1">
      <alignment wrapText="1"/>
    </xf>
    <xf numFmtId="0" fontId="8" fillId="7" borderId="2" xfId="0"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0" fillId="2" borderId="0" xfId="0" applyNumberFormat="1" applyFill="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1" xfId="0" applyFont="1" applyFill="1" applyBorder="1" applyAlignment="1" applyProtection="1">
      <alignment horizontal="left"/>
    </xf>
    <xf numFmtId="0" fontId="8" fillId="7" borderId="1" xfId="0" applyFont="1" applyFill="1" applyBorder="1" applyAlignment="1" applyProtection="1">
      <alignment horizontal="left"/>
    </xf>
    <xf numFmtId="0" fontId="8" fillId="7" borderId="1"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5" t="s">
        <v>4</v>
      </c>
      <c r="E6" s="85"/>
      <c r="F6" s="85"/>
      <c r="G6" s="85"/>
      <c r="H6" s="3"/>
      <c r="I6" s="1"/>
    </row>
    <row r="7" spans="1:9" ht="15" customHeight="1" x14ac:dyDescent="0.25">
      <c r="A7" s="1"/>
      <c r="B7" s="1"/>
      <c r="C7" s="3"/>
      <c r="D7" s="85"/>
      <c r="E7" s="85"/>
      <c r="F7" s="85"/>
      <c r="G7" s="85"/>
      <c r="H7" s="3"/>
      <c r="I7" s="1"/>
    </row>
    <row r="8" spans="1:9" ht="15.75" x14ac:dyDescent="0.25">
      <c r="A8" s="1"/>
      <c r="B8" s="1"/>
      <c r="C8" s="4"/>
      <c r="D8" s="87" t="s">
        <v>121</v>
      </c>
      <c r="E8" s="87"/>
      <c r="F8" s="87"/>
      <c r="G8" s="87"/>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82" t="s">
        <v>79</v>
      </c>
      <c r="E13" s="83"/>
      <c r="F13" s="83"/>
      <c r="G13" s="84"/>
      <c r="H13" s="1"/>
      <c r="I13" s="1"/>
    </row>
    <row r="14" spans="1:9" x14ac:dyDescent="0.25">
      <c r="A14" s="1"/>
      <c r="B14" s="1"/>
      <c r="C14" s="6" t="s">
        <v>13</v>
      </c>
      <c r="D14" s="82" t="s">
        <v>103</v>
      </c>
      <c r="E14" s="83"/>
      <c r="F14" s="83"/>
      <c r="G14" s="84"/>
      <c r="H14" s="1"/>
      <c r="I14" s="1"/>
    </row>
    <row r="15" spans="1:9" x14ac:dyDescent="0.25">
      <c r="A15" s="1"/>
      <c r="B15" s="1"/>
      <c r="C15" s="6" t="s">
        <v>25</v>
      </c>
      <c r="D15" s="82" t="s">
        <v>67</v>
      </c>
      <c r="E15" s="83"/>
      <c r="F15" s="83"/>
      <c r="G15" s="84"/>
      <c r="H15" s="1"/>
      <c r="I15" s="1"/>
    </row>
    <row r="16" spans="1:9" x14ac:dyDescent="0.25">
      <c r="A16" s="1"/>
      <c r="B16" s="1"/>
      <c r="C16" s="6" t="s">
        <v>26</v>
      </c>
      <c r="D16" s="82" t="s">
        <v>100</v>
      </c>
      <c r="E16" s="83"/>
      <c r="F16" s="83"/>
      <c r="G16" s="84"/>
      <c r="H16" s="1"/>
      <c r="I16" s="1"/>
    </row>
    <row r="17" spans="1:9" x14ac:dyDescent="0.25">
      <c r="A17" s="1"/>
      <c r="B17" s="1"/>
      <c r="C17" s="6" t="s">
        <v>44</v>
      </c>
      <c r="D17" s="82" t="s">
        <v>101</v>
      </c>
      <c r="E17" s="83"/>
      <c r="F17" s="83"/>
      <c r="G17" s="84"/>
      <c r="H17" s="1"/>
      <c r="I17" s="1"/>
    </row>
    <row r="18" spans="1:9" x14ac:dyDescent="0.25">
      <c r="A18" s="1"/>
      <c r="B18" s="1"/>
      <c r="C18" s="6" t="s">
        <v>7</v>
      </c>
      <c r="D18" s="79" t="s">
        <v>10</v>
      </c>
      <c r="E18" s="80"/>
      <c r="F18" s="80"/>
      <c r="G18" s="81"/>
      <c r="H18" s="1"/>
      <c r="I18" s="1"/>
    </row>
    <row r="19" spans="1:9" x14ac:dyDescent="0.25">
      <c r="A19" s="1"/>
      <c r="B19" s="1"/>
      <c r="C19" s="6" t="s">
        <v>8</v>
      </c>
      <c r="D19" s="73" t="s">
        <v>102</v>
      </c>
      <c r="E19" s="74"/>
      <c r="F19" s="74"/>
      <c r="G19" s="75"/>
      <c r="H19" s="1"/>
      <c r="I19" s="1"/>
    </row>
    <row r="20" spans="1:9" x14ac:dyDescent="0.25">
      <c r="A20" s="1"/>
      <c r="B20" s="1"/>
      <c r="C20" s="6" t="s">
        <v>41</v>
      </c>
      <c r="D20" s="73" t="s">
        <v>131</v>
      </c>
      <c r="E20" s="74"/>
      <c r="F20" s="74"/>
      <c r="G20" s="75"/>
      <c r="H20" s="1"/>
      <c r="I20" s="1"/>
    </row>
    <row r="21" spans="1:9" x14ac:dyDescent="0.25">
      <c r="A21" s="1"/>
      <c r="B21" s="1"/>
      <c r="C21" s="6" t="s">
        <v>99</v>
      </c>
      <c r="D21" s="73" t="s">
        <v>82</v>
      </c>
      <c r="E21" s="74"/>
      <c r="F21" s="74"/>
      <c r="G21" s="75"/>
      <c r="H21" s="1"/>
      <c r="I21" s="1"/>
    </row>
    <row r="22" spans="1:9" x14ac:dyDescent="0.25">
      <c r="A22" s="1"/>
      <c r="B22" s="1"/>
      <c r="C22" s="6" t="s">
        <v>132</v>
      </c>
      <c r="D22" s="73" t="s">
        <v>78</v>
      </c>
      <c r="E22" s="74"/>
      <c r="F22" s="74"/>
      <c r="G22" s="75"/>
      <c r="H22" s="1"/>
      <c r="I22" s="1"/>
    </row>
    <row r="23" spans="1:9" x14ac:dyDescent="0.25">
      <c r="A23" s="1"/>
      <c r="B23" s="1"/>
      <c r="C23" s="6" t="s">
        <v>133</v>
      </c>
      <c r="D23" s="73" t="s">
        <v>32</v>
      </c>
      <c r="E23" s="74"/>
      <c r="F23" s="74"/>
      <c r="G23" s="75"/>
      <c r="H23" s="1"/>
      <c r="I23" s="1"/>
    </row>
    <row r="24" spans="1:9" x14ac:dyDescent="0.25">
      <c r="A24" s="1"/>
      <c r="B24" s="1"/>
      <c r="C24" s="6" t="s">
        <v>134</v>
      </c>
      <c r="D24" s="73" t="s">
        <v>33</v>
      </c>
      <c r="E24" s="74"/>
      <c r="F24" s="74"/>
      <c r="G24" s="75"/>
      <c r="H24" s="1"/>
      <c r="I24" s="1"/>
    </row>
    <row r="25" spans="1:9" x14ac:dyDescent="0.25">
      <c r="A25" s="1"/>
      <c r="B25" s="1"/>
      <c r="C25" s="6" t="s">
        <v>36</v>
      </c>
      <c r="D25" s="73" t="s">
        <v>127</v>
      </c>
      <c r="E25" s="74"/>
      <c r="F25" s="74"/>
      <c r="G25" s="75"/>
      <c r="H25" s="1"/>
      <c r="I25" s="1"/>
    </row>
    <row r="26" spans="1:9" x14ac:dyDescent="0.25">
      <c r="A26" s="1"/>
      <c r="B26" s="1"/>
      <c r="C26" s="6" t="s">
        <v>86</v>
      </c>
      <c r="D26" s="73" t="s">
        <v>47</v>
      </c>
      <c r="E26" s="74"/>
      <c r="F26" s="74"/>
      <c r="G26" s="75"/>
      <c r="H26" s="1"/>
      <c r="I26" s="1"/>
    </row>
    <row r="27" spans="1:9" x14ac:dyDescent="0.25">
      <c r="A27" s="1"/>
      <c r="B27" s="1"/>
      <c r="C27" s="6" t="s">
        <v>135</v>
      </c>
      <c r="D27" s="73" t="s">
        <v>27</v>
      </c>
      <c r="E27" s="74"/>
      <c r="F27" s="74"/>
      <c r="G27" s="75"/>
      <c r="H27" s="1"/>
      <c r="I27" s="1"/>
    </row>
    <row r="28" spans="1:9" x14ac:dyDescent="0.25">
      <c r="A28" s="1"/>
      <c r="B28" s="1"/>
      <c r="C28" s="6" t="s">
        <v>136</v>
      </c>
      <c r="D28" s="76" t="s">
        <v>42</v>
      </c>
      <c r="E28" s="77"/>
      <c r="F28" s="77"/>
      <c r="G28" s="78"/>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ubAYCuzCKQxamcdHWTMhVLdn8DKJesuqKcLtswcOYuO5IoNoZ7i32JAWIW6A9qW7WAJPl977a1vvPv5RcR+Rhw==" saltValue="n3s5XsWl3n6aP7wVhXfR9w=="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9">
    <mergeCell ref="D14:G14"/>
    <mergeCell ref="D6:G7"/>
    <mergeCell ref="D19:G19"/>
    <mergeCell ref="D11:G11"/>
    <mergeCell ref="D8:G8"/>
    <mergeCell ref="D15:G15"/>
    <mergeCell ref="D16:G16"/>
    <mergeCell ref="D13:G13"/>
    <mergeCell ref="D17:G17"/>
    <mergeCell ref="D27:G27"/>
    <mergeCell ref="D28:G28"/>
    <mergeCell ref="D18:G18"/>
    <mergeCell ref="D22:G22"/>
    <mergeCell ref="D23:G23"/>
    <mergeCell ref="D26:G26"/>
    <mergeCell ref="D24:G24"/>
    <mergeCell ref="D21:G21"/>
    <mergeCell ref="D20:G20"/>
    <mergeCell ref="D25:G25"/>
  </mergeCells>
  <hyperlinks>
    <hyperlink ref="D14:G14" location="'Fane 2.2. Økonomisk ramme 2025'!A1" display="Samlet økonomisk ramme for 2025" xr:uid="{00000000-0004-0000-0000-000000000000}"/>
    <hyperlink ref="D23:G23" location="'Fane 7.1. Varige tillæg'!A1" display="Varige tillæg" xr:uid="{00000000-0004-0000-0000-000001000000}"/>
    <hyperlink ref="D26:G26" location="'Fane 9. Tilknyttet virksomhed'!A1" display="Tilknyttet virksomhed" xr:uid="{00000000-0004-0000-0000-000002000000}"/>
    <hyperlink ref="D27:G27"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8:G28" location="'Fane 11. Nøgletal'!A1" display="Nøgletal" xr:uid="{00000000-0004-0000-0000-000009000000}"/>
    <hyperlink ref="D17:G17" location="'Fane 3. Omkostninger i ØR2023'!A1" display="Omkostninger i ØR2023" xr:uid="{00000000-0004-0000-0000-00000A000000}"/>
    <hyperlink ref="D24:G24" location="'Fane 8.2. Engangstillæg'!A1" display="Engangstillæg" xr:uid="{00000000-0004-0000-0000-00000B000000}"/>
    <hyperlink ref="D22:G22" location="'Fane 7. Anlægsprojekter (§ 19)'!A1" display="Anlægsprojekter (§ 19) " xr:uid="{00000000-0004-0000-0000-00000C000000}"/>
    <hyperlink ref="D21:G21" location="'Fane 6. Skattesagen'!A1" display="Skattesagen" xr:uid="{00000000-0004-0000-0000-00000D000000}"/>
    <hyperlink ref="D20:G20" location="'Fane 6. Korrektion af ØR2021'!A1" display="Korrektion af ØR21" xr:uid="{99B9927A-C205-49F4-B34E-D15DC98D8393}"/>
    <hyperlink ref="D25:G25" location="'Fane 10. Periodevise driftsomk.'!A1" display="Periodevise driftsomkostninger" xr:uid="{5E669C16-C1FC-45BB-A21B-A4CA9ABC6A2F}"/>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8" t="s">
        <v>137</v>
      </c>
      <c r="C3" s="88"/>
      <c r="D3" s="88"/>
      <c r="E3" s="88"/>
      <c r="F3" s="88"/>
      <c r="G3" s="88"/>
      <c r="H3" s="88"/>
      <c r="I3" s="1"/>
    </row>
    <row r="4" spans="1:9" ht="15" customHeight="1" x14ac:dyDescent="0.25">
      <c r="A4" s="1"/>
      <c r="B4" s="88"/>
      <c r="C4" s="88"/>
      <c r="D4" s="88"/>
      <c r="E4" s="88"/>
      <c r="F4" s="88"/>
      <c r="G4" s="88"/>
      <c r="H4" s="8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2" t="s">
        <v>87</v>
      </c>
      <c r="C8" s="93"/>
      <c r="D8" s="93"/>
      <c r="E8" s="93"/>
      <c r="F8" s="93"/>
      <c r="G8" s="93"/>
      <c r="H8" s="94"/>
      <c r="I8" s="1"/>
    </row>
    <row r="9" spans="1:9" ht="15" customHeight="1" x14ac:dyDescent="0.25">
      <c r="A9" s="1"/>
      <c r="B9" s="114" t="s">
        <v>88</v>
      </c>
      <c r="C9" s="115"/>
      <c r="D9" s="115"/>
      <c r="E9" s="115"/>
      <c r="F9" s="115"/>
      <c r="G9" s="115"/>
      <c r="H9" s="116"/>
      <c r="I9" s="1"/>
    </row>
    <row r="10" spans="1:9" x14ac:dyDescent="0.25">
      <c r="A10" s="1"/>
      <c r="B10" s="117" t="s">
        <v>89</v>
      </c>
      <c r="C10" s="118"/>
      <c r="D10" s="118"/>
      <c r="E10" s="118"/>
      <c r="F10" s="119"/>
      <c r="G10" s="43">
        <v>0</v>
      </c>
      <c r="H10" s="8" t="s">
        <v>3</v>
      </c>
      <c r="I10" s="1"/>
    </row>
    <row r="11" spans="1:9" x14ac:dyDescent="0.25">
      <c r="A11" s="1"/>
      <c r="B11" s="117" t="s">
        <v>90</v>
      </c>
      <c r="C11" s="118"/>
      <c r="D11" s="118"/>
      <c r="E11" s="118"/>
      <c r="F11" s="119"/>
      <c r="G11" s="43">
        <v>0</v>
      </c>
      <c r="H11" s="8" t="s">
        <v>3</v>
      </c>
      <c r="I11" s="1"/>
    </row>
    <row r="12" spans="1:9" x14ac:dyDescent="0.25">
      <c r="A12" s="1"/>
      <c r="B12" s="117" t="s">
        <v>91</v>
      </c>
      <c r="C12" s="118"/>
      <c r="D12" s="118"/>
      <c r="E12" s="118"/>
      <c r="F12" s="119"/>
      <c r="G12" s="8">
        <v>0</v>
      </c>
      <c r="H12" s="8" t="s">
        <v>3</v>
      </c>
      <c r="I12" s="1"/>
    </row>
    <row r="13" spans="1:9" x14ac:dyDescent="0.25">
      <c r="A13" s="1"/>
      <c r="B13" s="117" t="s">
        <v>92</v>
      </c>
      <c r="C13" s="118"/>
      <c r="D13" s="118"/>
      <c r="E13" s="118"/>
      <c r="F13" s="119"/>
      <c r="G13" s="8">
        <v>0</v>
      </c>
      <c r="H13" s="8" t="s">
        <v>3</v>
      </c>
      <c r="I13" s="1"/>
    </row>
    <row r="14" spans="1:9" x14ac:dyDescent="0.25">
      <c r="A14" s="1"/>
      <c r="B14" s="117" t="s">
        <v>93</v>
      </c>
      <c r="C14" s="118"/>
      <c r="D14" s="118"/>
      <c r="E14" s="118"/>
      <c r="F14" s="119"/>
      <c r="G14" s="8">
        <v>0</v>
      </c>
      <c r="H14" s="8" t="s">
        <v>3</v>
      </c>
      <c r="I14" s="1"/>
    </row>
    <row r="15" spans="1:9" x14ac:dyDescent="0.25">
      <c r="A15" s="1"/>
      <c r="B15" s="117" t="s">
        <v>94</v>
      </c>
      <c r="C15" s="118"/>
      <c r="D15" s="118"/>
      <c r="E15" s="118"/>
      <c r="F15" s="119"/>
      <c r="G15" s="8">
        <v>0</v>
      </c>
      <c r="H15" s="8" t="s">
        <v>3</v>
      </c>
      <c r="I15" s="1"/>
    </row>
    <row r="16" spans="1:9" x14ac:dyDescent="0.25">
      <c r="A16" s="1"/>
      <c r="B16" s="117" t="s">
        <v>95</v>
      </c>
      <c r="C16" s="118"/>
      <c r="D16" s="118"/>
      <c r="E16" s="118"/>
      <c r="F16" s="119"/>
      <c r="G16" s="8">
        <v>0</v>
      </c>
      <c r="H16" s="8" t="s">
        <v>3</v>
      </c>
      <c r="I16" s="1"/>
    </row>
    <row r="17" spans="1:9" x14ac:dyDescent="0.25">
      <c r="A17" s="1"/>
      <c r="B17" s="117" t="s">
        <v>96</v>
      </c>
      <c r="C17" s="118"/>
      <c r="D17" s="118"/>
      <c r="E17" s="118"/>
      <c r="F17" s="119"/>
      <c r="G17" s="8">
        <v>0</v>
      </c>
      <c r="H17" s="8" t="s">
        <v>3</v>
      </c>
      <c r="I17" s="1"/>
    </row>
    <row r="18" spans="1:9" x14ac:dyDescent="0.25">
      <c r="A18" s="1"/>
      <c r="B18" s="92" t="s">
        <v>97</v>
      </c>
      <c r="C18" s="93"/>
      <c r="D18" s="93"/>
      <c r="E18" s="93"/>
      <c r="F18" s="9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BtlDjVc/vkSSy/N5AgZcBYSQnzPHBiaW9RkibbKPQD/54L6L8HMC+qH9aK7ZRe/sNsp1w8DbKLE7R2+U0zfN3A==" saltValue="u4zLn84G9eMogNkIO1ldI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8" t="s">
        <v>138</v>
      </c>
      <c r="C3" s="88"/>
      <c r="D3" s="88"/>
      <c r="E3" s="88"/>
      <c r="F3" s="88"/>
      <c r="G3" s="88"/>
      <c r="H3" s="88"/>
      <c r="I3" s="88"/>
      <c r="J3" s="88"/>
      <c r="K3" s="88"/>
      <c r="L3" s="1"/>
    </row>
    <row r="4" spans="1:12" ht="15" customHeight="1" x14ac:dyDescent="0.25">
      <c r="A4" s="1"/>
      <c r="B4" s="88"/>
      <c r="C4" s="88"/>
      <c r="D4" s="88"/>
      <c r="E4" s="88"/>
      <c r="F4" s="88"/>
      <c r="G4" s="88"/>
      <c r="H4" s="88"/>
      <c r="I4" s="88"/>
      <c r="J4" s="88"/>
      <c r="K4" s="8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2" t="s">
        <v>75</v>
      </c>
      <c r="C8" s="93"/>
      <c r="D8" s="93"/>
      <c r="E8" s="93"/>
      <c r="F8" s="93"/>
      <c r="G8" s="93"/>
      <c r="H8" s="93"/>
      <c r="I8" s="93"/>
      <c r="J8" s="93"/>
      <c r="K8" s="94"/>
      <c r="L8" s="1"/>
    </row>
    <row r="9" spans="1:12" ht="39.75" customHeight="1" x14ac:dyDescent="0.25">
      <c r="A9" s="1"/>
      <c r="B9" s="41" t="s">
        <v>0</v>
      </c>
      <c r="C9" s="16" t="s">
        <v>1</v>
      </c>
      <c r="D9" s="120" t="s">
        <v>80</v>
      </c>
      <c r="E9" s="121"/>
      <c r="F9" s="120" t="s">
        <v>2</v>
      </c>
      <c r="G9" s="121"/>
      <c r="H9" s="120" t="s">
        <v>81</v>
      </c>
      <c r="I9" s="121"/>
      <c r="J9" s="120" t="s">
        <v>21</v>
      </c>
      <c r="K9" s="121"/>
      <c r="L9" s="1"/>
    </row>
    <row r="10" spans="1:12" x14ac:dyDescent="0.25">
      <c r="A10" s="1"/>
      <c r="B10" s="68" t="s">
        <v>126</v>
      </c>
      <c r="C10" s="29">
        <v>0</v>
      </c>
      <c r="D10" s="8">
        <v>0</v>
      </c>
      <c r="E10" s="12" t="s">
        <v>3</v>
      </c>
      <c r="F10" s="8">
        <f>IFERROR(D10/C10,0)</f>
        <v>0</v>
      </c>
      <c r="G10" s="12" t="s">
        <v>3</v>
      </c>
      <c r="H10" s="8">
        <v>0</v>
      </c>
      <c r="I10" s="12" t="s">
        <v>3</v>
      </c>
      <c r="J10" s="8">
        <v>0</v>
      </c>
      <c r="K10" s="12" t="s">
        <v>3</v>
      </c>
      <c r="L10" s="1"/>
    </row>
    <row r="11" spans="1:12" x14ac:dyDescent="0.25">
      <c r="A11" s="1"/>
      <c r="B11" s="56" t="s">
        <v>76</v>
      </c>
      <c r="C11" s="57"/>
      <c r="D11" s="58"/>
      <c r="E11" s="58"/>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SYpVdqerOPh+vpXoDNzumUr9vThjF1vSpcGjgsgctXTtQg4YzKMnruIP13fFYguXbbTzEQCMEZz36Yq+tULAiA==" saltValue="DrMsBkL2Ejdzbe9Yrvwk6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139</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29</v>
      </c>
      <c r="C8" s="22"/>
      <c r="D8" s="22"/>
      <c r="E8" s="22"/>
      <c r="F8" s="72"/>
      <c r="G8" s="1"/>
    </row>
    <row r="9" spans="1:7" ht="17.25" customHeight="1" x14ac:dyDescent="0.25">
      <c r="A9" s="1"/>
      <c r="B9" s="66" t="s">
        <v>14</v>
      </c>
      <c r="C9" s="66" t="s">
        <v>9</v>
      </c>
      <c r="D9" s="67"/>
      <c r="E9" s="66" t="s">
        <v>22</v>
      </c>
      <c r="F9" s="70"/>
      <c r="G9" s="1"/>
    </row>
    <row r="10" spans="1:7" x14ac:dyDescent="0.25">
      <c r="A10" s="1"/>
      <c r="B10" s="20" t="s">
        <v>71</v>
      </c>
      <c r="C10" s="19">
        <f>'Fane 8. Anlægsprojekter (§ 19)'!H11</f>
        <v>0</v>
      </c>
      <c r="D10" s="12" t="s">
        <v>3</v>
      </c>
      <c r="E10" s="8">
        <f>SUM('Fane 8. Anlægsprojekter (§ 19)'!F11,'Fane 8. Anlægsprojekter (§ 19)'!J11)</f>
        <v>0</v>
      </c>
      <c r="F10" s="12" t="s">
        <v>3</v>
      </c>
      <c r="G10" s="1"/>
    </row>
    <row r="11" spans="1:7" x14ac:dyDescent="0.25">
      <c r="A11" s="1"/>
      <c r="B11" s="20" t="s">
        <v>177</v>
      </c>
      <c r="C11" s="19">
        <v>0</v>
      </c>
      <c r="D11" s="12" t="s">
        <v>3</v>
      </c>
      <c r="E11" s="8">
        <v>17014</v>
      </c>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1" t="s">
        <v>72</v>
      </c>
      <c r="C16" s="10">
        <f>SUM(C10:C15)</f>
        <v>0</v>
      </c>
      <c r="D16" s="11" t="s">
        <v>3</v>
      </c>
      <c r="E16" s="10">
        <f>SUM(E10:E15)</f>
        <v>17014</v>
      </c>
      <c r="F16" s="11" t="s">
        <v>3</v>
      </c>
      <c r="G16" s="1"/>
    </row>
    <row r="17" spans="1:7" x14ac:dyDescent="0.25">
      <c r="A17" s="1"/>
      <c r="B17" s="71" t="s">
        <v>122</v>
      </c>
      <c r="C17" s="10">
        <f>C16*(1+'Fane 13. Nøgletal'!C16)</f>
        <v>0</v>
      </c>
      <c r="D17" s="11" t="s">
        <v>3</v>
      </c>
      <c r="E17" s="10">
        <f>E16*(1+'Fane 13. Nøgletal'!C16)</f>
        <v>18388.731199999998</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lGaD5OhbUTOFhIY+5HJKVcnoGlHq2Ej77YMvwDEQfUwL7bKtUdbdfD1JV5ANg+QFk1ftXceHAvAbLquajCdhLA==" saltValue="rtsZWtMdOziltludAumY3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140</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92" t="s">
        <v>37</v>
      </c>
      <c r="C7" s="93"/>
      <c r="D7" s="93"/>
      <c r="E7" s="93"/>
      <c r="F7" s="94"/>
      <c r="G7" s="1"/>
    </row>
    <row r="8" spans="1:7" x14ac:dyDescent="0.25">
      <c r="A8" s="1"/>
      <c r="B8" s="66" t="s">
        <v>14</v>
      </c>
      <c r="C8" s="66" t="s">
        <v>9</v>
      </c>
      <c r="D8" s="67"/>
      <c r="E8" s="66" t="s">
        <v>22</v>
      </c>
      <c r="F8" s="70"/>
      <c r="G8" s="1"/>
    </row>
    <row r="9" spans="1:7" x14ac:dyDescent="0.25">
      <c r="A9" s="1"/>
      <c r="B9" s="20" t="s">
        <v>178</v>
      </c>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1" t="s">
        <v>123</v>
      </c>
      <c r="C14" s="10">
        <f>SUM(C9:C13)</f>
        <v>0</v>
      </c>
      <c r="D14" s="11" t="s">
        <v>3</v>
      </c>
      <c r="E14" s="10">
        <f>SUM(E9:E13)</f>
        <v>0</v>
      </c>
      <c r="F14" s="11" t="s">
        <v>3</v>
      </c>
      <c r="G14" s="1"/>
    </row>
    <row r="15" spans="1:7" x14ac:dyDescent="0.25">
      <c r="A15" s="1"/>
      <c r="B15" s="71" t="s">
        <v>124</v>
      </c>
      <c r="C15" s="10">
        <f>C14*(1+'Fane 13. Nøgletal'!C16)^2</f>
        <v>0</v>
      </c>
      <c r="D15" s="11" t="s">
        <v>3</v>
      </c>
      <c r="E15" s="10">
        <f>E14*(1+'Fane 13. Nøgletal'!C16)^2</f>
        <v>0</v>
      </c>
      <c r="F15" s="11" t="s">
        <v>3</v>
      </c>
      <c r="G15" s="1"/>
    </row>
    <row r="16" spans="1:7" x14ac:dyDescent="0.25">
      <c r="A16" s="1"/>
      <c r="B16" s="1"/>
      <c r="C16" s="1"/>
      <c r="D16" s="1"/>
      <c r="E16" s="1"/>
      <c r="F16" s="1"/>
      <c r="G16" s="1"/>
    </row>
    <row r="17" spans="1:7" x14ac:dyDescent="0.25">
      <c r="A17" s="1"/>
      <c r="B17" s="122"/>
      <c r="C17" s="122"/>
      <c r="D17" s="122"/>
      <c r="E17" s="122"/>
      <c r="F17" s="122"/>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22"/>
      <c r="C24" s="122"/>
      <c r="D24" s="122"/>
      <c r="E24" s="122"/>
      <c r="F24" s="122"/>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22"/>
      <c r="C31" s="122"/>
      <c r="D31" s="122"/>
      <c r="E31" s="122"/>
      <c r="F31" s="122"/>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kYbCdcRBQqeVSoDYNbeNqct7SOuw30w97JQHhLEXSoSxeQ3bQDwKNh3efUBYD4ZgEELv8l+mNaqaCL2vezxqGg==" saltValue="vslnCh5Yctv5QjJfx2Dsk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9C776-18D8-4508-91F7-C9D41904A4D3}">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150</v>
      </c>
      <c r="C3" s="90"/>
      <c r="D3" s="90"/>
      <c r="E3" s="90"/>
      <c r="F3" s="90"/>
      <c r="G3" s="1"/>
    </row>
    <row r="4" spans="1:7" ht="15" customHeight="1" x14ac:dyDescent="0.25">
      <c r="A4" s="1"/>
      <c r="B4" s="90"/>
      <c r="C4" s="90"/>
      <c r="D4" s="90"/>
      <c r="E4" s="90"/>
      <c r="F4" s="90"/>
      <c r="G4" s="1"/>
    </row>
    <row r="5" spans="1:7" x14ac:dyDescent="0.25">
      <c r="A5" s="1"/>
      <c r="B5" s="90"/>
      <c r="C5" s="90"/>
      <c r="D5" s="90"/>
      <c r="E5" s="90"/>
      <c r="F5" s="90"/>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92" t="s">
        <v>151</v>
      </c>
      <c r="C9" s="93"/>
      <c r="D9" s="93"/>
      <c r="E9" s="93"/>
      <c r="F9" s="94"/>
      <c r="G9" s="1"/>
    </row>
    <row r="10" spans="1:7" x14ac:dyDescent="0.25">
      <c r="A10" s="1"/>
      <c r="B10" s="117" t="s">
        <v>152</v>
      </c>
      <c r="C10" s="118"/>
      <c r="D10" s="119"/>
      <c r="E10" s="8">
        <v>7478.0804805990329</v>
      </c>
      <c r="F10" s="12" t="s">
        <v>3</v>
      </c>
      <c r="G10" s="54"/>
    </row>
    <row r="11" spans="1:7" x14ac:dyDescent="0.25">
      <c r="A11" s="1"/>
      <c r="B11" s="123" t="s">
        <v>39</v>
      </c>
      <c r="C11" s="124"/>
      <c r="D11" s="125"/>
      <c r="E11" s="8">
        <f>-E10*'Fane 13. Nøgletal'!C21</f>
        <v>-127.12736817018357</v>
      </c>
      <c r="F11" s="12" t="s">
        <v>3</v>
      </c>
      <c r="G11" s="1"/>
    </row>
    <row r="12" spans="1:7" x14ac:dyDescent="0.25">
      <c r="A12" s="1"/>
      <c r="B12" s="92" t="s">
        <v>153</v>
      </c>
      <c r="C12" s="93"/>
      <c r="D12" s="94"/>
      <c r="E12" s="10">
        <f>SUM(E10:E11)*(1+'Fane 13. Nøgletal'!C16)^2</f>
        <v>8586.8588619252787</v>
      </c>
      <c r="F12" s="11" t="s">
        <v>3</v>
      </c>
      <c r="G12" s="1"/>
    </row>
    <row r="13" spans="1:7" x14ac:dyDescent="0.25">
      <c r="A13" s="1"/>
      <c r="B13" s="1"/>
      <c r="C13" s="1"/>
      <c r="D13" s="1"/>
      <c r="E13" s="1"/>
      <c r="F13" s="1"/>
      <c r="G13" s="1"/>
    </row>
    <row r="14" spans="1:7" x14ac:dyDescent="0.25">
      <c r="A14" s="1"/>
      <c r="B14" s="92" t="s">
        <v>154</v>
      </c>
      <c r="C14" s="93"/>
      <c r="D14" s="93"/>
      <c r="E14" s="93"/>
      <c r="F14" s="94"/>
      <c r="G14" s="1"/>
    </row>
    <row r="15" spans="1:7" x14ac:dyDescent="0.25">
      <c r="A15" s="1"/>
      <c r="B15" s="117" t="s">
        <v>152</v>
      </c>
      <c r="C15" s="118"/>
      <c r="D15" s="119"/>
      <c r="E15" s="8">
        <v>7478.0804805990329</v>
      </c>
      <c r="F15" s="12" t="s">
        <v>3</v>
      </c>
      <c r="G15" s="1"/>
    </row>
    <row r="16" spans="1:7" x14ac:dyDescent="0.25">
      <c r="A16" s="1"/>
      <c r="B16" s="123" t="s">
        <v>39</v>
      </c>
      <c r="C16" s="124"/>
      <c r="D16" s="125"/>
      <c r="E16" s="8">
        <f>-E15*'Fane 13. Nøgletal'!C21</f>
        <v>-127.12736817018357</v>
      </c>
      <c r="F16" s="12" t="s">
        <v>3</v>
      </c>
      <c r="G16" s="1"/>
    </row>
    <row r="17" spans="1:7" x14ac:dyDescent="0.25">
      <c r="A17" s="1"/>
      <c r="B17" s="92" t="s">
        <v>155</v>
      </c>
      <c r="C17" s="93"/>
      <c r="D17" s="94"/>
      <c r="E17" s="10">
        <f>SUM(E15:E16)*(1+'Fane 13. Nøgletal'!C16)^3</f>
        <v>9280.6770579688418</v>
      </c>
      <c r="F17" s="11" t="s">
        <v>3</v>
      </c>
      <c r="G17" s="1"/>
    </row>
    <row r="18" spans="1:7" x14ac:dyDescent="0.25">
      <c r="A18" s="1"/>
      <c r="B18" s="1"/>
      <c r="C18" s="1"/>
      <c r="D18" s="1"/>
      <c r="E18" s="1"/>
      <c r="F18" s="1"/>
      <c r="G18" s="1"/>
    </row>
    <row r="19" spans="1:7" x14ac:dyDescent="0.25">
      <c r="A19" s="1"/>
      <c r="B19" s="92" t="s">
        <v>156</v>
      </c>
      <c r="C19" s="93"/>
      <c r="D19" s="93"/>
      <c r="E19" s="93"/>
      <c r="F19" s="94"/>
      <c r="G19" s="1"/>
    </row>
    <row r="20" spans="1:7" x14ac:dyDescent="0.25">
      <c r="A20" s="1"/>
      <c r="B20" s="117" t="s">
        <v>152</v>
      </c>
      <c r="C20" s="118"/>
      <c r="D20" s="119"/>
      <c r="E20" s="8">
        <v>7478.0804805990329</v>
      </c>
      <c r="F20" s="12" t="s">
        <v>3</v>
      </c>
      <c r="G20" s="1"/>
    </row>
    <row r="21" spans="1:7" x14ac:dyDescent="0.25">
      <c r="A21" s="1"/>
      <c r="B21" s="123" t="s">
        <v>39</v>
      </c>
      <c r="C21" s="124"/>
      <c r="D21" s="125"/>
      <c r="E21" s="8">
        <f>-E20*'Fane 13. Nøgletal'!C21</f>
        <v>-127.12736817018357</v>
      </c>
      <c r="F21" s="12" t="s">
        <v>3</v>
      </c>
      <c r="G21" s="1"/>
    </row>
    <row r="22" spans="1:7" x14ac:dyDescent="0.25">
      <c r="A22" s="1"/>
      <c r="B22" s="92" t="s">
        <v>157</v>
      </c>
      <c r="C22" s="93"/>
      <c r="D22" s="94"/>
      <c r="E22" s="10">
        <f>SUM(E20:E21)*(1+'Fane 13. Nøgletal'!C16)^4</f>
        <v>10030.555764252722</v>
      </c>
      <c r="F22" s="11" t="s">
        <v>3</v>
      </c>
      <c r="G22" s="1"/>
    </row>
    <row r="23" spans="1:7" x14ac:dyDescent="0.25">
      <c r="A23" s="1"/>
      <c r="B23" s="1"/>
      <c r="C23" s="1"/>
      <c r="D23" s="1"/>
      <c r="E23" s="1"/>
      <c r="F23" s="1"/>
      <c r="G23" s="1"/>
    </row>
    <row r="24" spans="1:7" x14ac:dyDescent="0.25">
      <c r="A24" s="1"/>
      <c r="B24" s="92" t="s">
        <v>158</v>
      </c>
      <c r="C24" s="93"/>
      <c r="D24" s="93"/>
      <c r="E24" s="93"/>
      <c r="F24" s="94"/>
      <c r="G24" s="1"/>
    </row>
    <row r="25" spans="1:7" x14ac:dyDescent="0.25">
      <c r="A25" s="1"/>
      <c r="B25" s="117" t="s">
        <v>152</v>
      </c>
      <c r="C25" s="118"/>
      <c r="D25" s="119"/>
      <c r="E25" s="8">
        <v>7478.0804805990329</v>
      </c>
      <c r="F25" s="12" t="s">
        <v>3</v>
      </c>
      <c r="G25" s="1"/>
    </row>
    <row r="26" spans="1:7" x14ac:dyDescent="0.25">
      <c r="A26" s="1"/>
      <c r="B26" s="123" t="s">
        <v>39</v>
      </c>
      <c r="C26" s="124"/>
      <c r="D26" s="125"/>
      <c r="E26" s="8">
        <f>-E25*'Fane 13. Nøgletal'!C21</f>
        <v>-127.12736817018357</v>
      </c>
      <c r="F26" s="12" t="s">
        <v>3</v>
      </c>
      <c r="G26" s="1"/>
    </row>
    <row r="27" spans="1:7" x14ac:dyDescent="0.25">
      <c r="A27" s="1"/>
      <c r="B27" s="92" t="s">
        <v>159</v>
      </c>
      <c r="C27" s="93"/>
      <c r="D27" s="94"/>
      <c r="E27" s="10">
        <f>SUM(E25:E26)*(1+'Fane 13. Nøgletal'!C16)^5</f>
        <v>10841.024670004343</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31"/>
      <c r="C30" s="31"/>
      <c r="D30" s="31"/>
      <c r="E30" s="31"/>
      <c r="F30" s="31"/>
      <c r="G30" s="1"/>
    </row>
    <row r="31" spans="1:7" x14ac:dyDescent="0.25">
      <c r="A31" s="1"/>
      <c r="B31" s="122"/>
      <c r="C31" s="122"/>
      <c r="D31" s="122"/>
      <c r="E31" s="122"/>
      <c r="F31" s="122"/>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FGSuGlqEj0SaDEGZWk1eO2zIwTpTaXBfbpOasdweRxu+SkH5cfYUfo2T8lugyH4sKTOzwHE3yN/jy8nokmoFw==" saltValue="RIOC/GaDWj7nLowmA+6S/A==" spinCount="100000" sheet="1" objects="1" scenarios="1"/>
  <mergeCells count="18">
    <mergeCell ref="B14:F14"/>
    <mergeCell ref="B15:D15"/>
    <mergeCell ref="B16:D16"/>
    <mergeCell ref="B17:D17"/>
    <mergeCell ref="B19:F19"/>
    <mergeCell ref="B3:F5"/>
    <mergeCell ref="B9:F9"/>
    <mergeCell ref="B10:D10"/>
    <mergeCell ref="B11:D11"/>
    <mergeCell ref="B12:D12"/>
    <mergeCell ref="B26:D26"/>
    <mergeCell ref="B27:D27"/>
    <mergeCell ref="B20:D20"/>
    <mergeCell ref="B24:F24"/>
    <mergeCell ref="B31:F31"/>
    <mergeCell ref="B21:D21"/>
    <mergeCell ref="B22:D22"/>
    <mergeCell ref="B25:D2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83</v>
      </c>
      <c r="C3" s="90"/>
      <c r="D3" s="90"/>
      <c r="E3" s="90"/>
      <c r="F3" s="90"/>
      <c r="G3" s="1"/>
    </row>
    <row r="4" spans="1:7" ht="25.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2" t="s">
        <v>51</v>
      </c>
      <c r="C8" s="93"/>
      <c r="D8" s="93"/>
      <c r="E8" s="93"/>
      <c r="F8" s="94"/>
      <c r="G8" s="1"/>
    </row>
    <row r="9" spans="1:7" ht="15" customHeight="1" x14ac:dyDescent="0.25">
      <c r="A9" s="1"/>
      <c r="B9" s="69" t="s">
        <v>53</v>
      </c>
      <c r="C9" s="126" t="s">
        <v>9</v>
      </c>
      <c r="D9" s="127"/>
      <c r="E9" s="126" t="s">
        <v>22</v>
      </c>
      <c r="F9" s="127"/>
      <c r="G9" s="1"/>
    </row>
    <row r="10" spans="1:7" ht="26.25" x14ac:dyDescent="0.25">
      <c r="A10" s="1"/>
      <c r="B10" s="50" t="s">
        <v>162</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73</v>
      </c>
      <c r="C13" s="10">
        <f>SUM(C10:C12)</f>
        <v>0</v>
      </c>
      <c r="D13" s="11" t="s">
        <v>3</v>
      </c>
      <c r="E13" s="10">
        <f>SUM(E10:E12)</f>
        <v>0</v>
      </c>
      <c r="F13" s="11" t="s">
        <v>3</v>
      </c>
      <c r="G13" s="1"/>
    </row>
    <row r="14" spans="1:7" ht="27" customHeight="1" x14ac:dyDescent="0.25">
      <c r="A14" s="1"/>
      <c r="B14" s="18" t="s">
        <v>118</v>
      </c>
      <c r="C14" s="10">
        <f>C13*(1+'Fane 13. Nøgletal'!C16)</f>
        <v>0</v>
      </c>
      <c r="D14" s="11" t="s">
        <v>3</v>
      </c>
      <c r="E14" s="10">
        <f>E13*(1+'Fane 13.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h5RaJdpdz2rVUWeXfJhd6EBnA1Elg1tLQVhBZ8Rimb435mC/JUosQ+/dLcfxOyHp+aoOqg9PvDudHt1yI89qJg==" saltValue="0RrqpkE1XTyhk3Ok0Xbk/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84</v>
      </c>
      <c r="C3" s="90"/>
      <c r="D3" s="90"/>
      <c r="E3" s="90"/>
      <c r="F3" s="90"/>
      <c r="G3" s="1"/>
    </row>
    <row r="4" spans="1:7" ht="25.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2" t="s">
        <v>125</v>
      </c>
      <c r="C9" s="93"/>
      <c r="D9" s="93"/>
      <c r="E9" s="93"/>
      <c r="F9" s="94"/>
      <c r="G9" s="1"/>
    </row>
    <row r="10" spans="1:7" ht="26.25" x14ac:dyDescent="0.25">
      <c r="A10" s="1"/>
      <c r="B10" s="69" t="s">
        <v>15</v>
      </c>
      <c r="C10" s="69" t="s">
        <v>9</v>
      </c>
      <c r="D10" s="70"/>
      <c r="E10" s="69" t="s">
        <v>22</v>
      </c>
      <c r="F10" s="70"/>
      <c r="G10" s="1"/>
    </row>
    <row r="11" spans="1:7" x14ac:dyDescent="0.25">
      <c r="A11" s="1"/>
      <c r="B11" s="50" t="s">
        <v>163</v>
      </c>
      <c r="C11" s="8">
        <v>0</v>
      </c>
      <c r="D11" s="12" t="s">
        <v>3</v>
      </c>
      <c r="E11" s="8">
        <v>0</v>
      </c>
      <c r="F11" s="12" t="s">
        <v>3</v>
      </c>
      <c r="G11" s="1"/>
    </row>
    <row r="12" spans="1:7" x14ac:dyDescent="0.25">
      <c r="A12" s="1"/>
      <c r="B12" s="71" t="s">
        <v>35</v>
      </c>
      <c r="C12" s="10">
        <f>SUM(C11:C11)</f>
        <v>0</v>
      </c>
      <c r="D12" s="11" t="s">
        <v>3</v>
      </c>
      <c r="E12" s="10">
        <f>SUM(E11:E11)</f>
        <v>0</v>
      </c>
      <c r="F12" s="11" t="s">
        <v>3</v>
      </c>
      <c r="G12" s="1"/>
    </row>
    <row r="13" spans="1:7" x14ac:dyDescent="0.25">
      <c r="A13" s="1"/>
      <c r="B13" s="71" t="s">
        <v>117</v>
      </c>
      <c r="C13" s="10">
        <f>C12*(1+'Fane 13. Nøgletal'!C16)</f>
        <v>0</v>
      </c>
      <c r="D13" s="11" t="s">
        <v>3</v>
      </c>
      <c r="E13" s="10">
        <f>E12*(1+'Fane 13. Nøgletal'!C16)</f>
        <v>0</v>
      </c>
      <c r="F13" s="11" t="s">
        <v>3</v>
      </c>
      <c r="G13" s="1"/>
    </row>
    <row r="14" spans="1:7" x14ac:dyDescent="0.25">
      <c r="A14" s="1"/>
      <c r="B14" s="1"/>
      <c r="C14" s="1"/>
      <c r="D14" s="1"/>
      <c r="E14" s="1"/>
      <c r="F14" s="1"/>
      <c r="G14" s="1"/>
    </row>
    <row r="15" spans="1:7" x14ac:dyDescent="0.25">
      <c r="A15" s="1"/>
      <c r="B15" s="122"/>
      <c r="C15" s="122"/>
      <c r="D15" s="122"/>
      <c r="E15" s="122"/>
      <c r="F15" s="122"/>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22"/>
      <c r="C21" s="122"/>
      <c r="D21" s="122"/>
      <c r="E21" s="122"/>
      <c r="F21" s="122"/>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22"/>
      <c r="C27" s="122"/>
      <c r="D27" s="122"/>
      <c r="E27" s="122"/>
      <c r="F27" s="122"/>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8AP/zciOCxSm4VsETAKTm4IytYdnnR2ovUUsv/HVDMBqwORlIX5IDl/iGg5FtRhfJUTE3J+XJuhq411XuPmVXA==" saltValue="yBHQ/vUKzD8ETAlmt+eCp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0" t="s">
        <v>85</v>
      </c>
      <c r="C3" s="90"/>
      <c r="D3" s="1"/>
    </row>
    <row r="4" spans="1:4" ht="25.5" customHeight="1" x14ac:dyDescent="0.25">
      <c r="A4" s="1"/>
      <c r="B4" s="90"/>
      <c r="C4" s="9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1" t="s">
        <v>12</v>
      </c>
      <c r="C8" s="72"/>
      <c r="D8" s="1"/>
    </row>
    <row r="9" spans="1:4" x14ac:dyDescent="0.25">
      <c r="A9" s="1"/>
      <c r="B9" s="23" t="s">
        <v>60</v>
      </c>
      <c r="C9" s="21">
        <v>1.2699999999999999E-2</v>
      </c>
      <c r="D9" s="1"/>
    </row>
    <row r="10" spans="1:4" x14ac:dyDescent="0.25">
      <c r="A10" s="1"/>
      <c r="B10" s="23" t="s">
        <v>58</v>
      </c>
      <c r="C10" s="21">
        <v>1.7500000000000002E-2</v>
      </c>
      <c r="D10" s="1"/>
    </row>
    <row r="11" spans="1:4" x14ac:dyDescent="0.25">
      <c r="A11" s="1"/>
      <c r="B11" s="23" t="s">
        <v>20</v>
      </c>
      <c r="C11" s="21">
        <v>1.6899999999999998E-2</v>
      </c>
      <c r="D11" s="1"/>
    </row>
    <row r="12" spans="1:4" x14ac:dyDescent="0.25">
      <c r="A12" s="1"/>
      <c r="B12" s="23" t="s">
        <v>28</v>
      </c>
      <c r="C12" s="21">
        <v>1.9699999999999999E-2</v>
      </c>
      <c r="D12" s="1"/>
    </row>
    <row r="13" spans="1:4" x14ac:dyDescent="0.25">
      <c r="A13" s="1"/>
      <c r="B13" s="25" t="s">
        <v>52</v>
      </c>
      <c r="C13" s="26">
        <v>1.2200000000000001E-2</v>
      </c>
      <c r="D13" s="1"/>
    </row>
    <row r="14" spans="1:4" x14ac:dyDescent="0.25">
      <c r="A14" s="1"/>
      <c r="B14" s="25" t="s">
        <v>59</v>
      </c>
      <c r="C14" s="26">
        <v>3.3E-3</v>
      </c>
      <c r="D14" s="1"/>
    </row>
    <row r="15" spans="1:4" x14ac:dyDescent="0.25">
      <c r="A15" s="1"/>
      <c r="B15" s="25" t="s">
        <v>74</v>
      </c>
      <c r="C15" s="26">
        <v>3.56E-2</v>
      </c>
      <c r="D15" s="1"/>
    </row>
    <row r="16" spans="1:4" x14ac:dyDescent="0.25">
      <c r="A16" s="1"/>
      <c r="B16" s="25" t="s">
        <v>119</v>
      </c>
      <c r="C16" s="26">
        <v>8.0799999999999997E-2</v>
      </c>
      <c r="D16" s="1"/>
    </row>
    <row r="17" spans="1:4" x14ac:dyDescent="0.25">
      <c r="A17" s="1"/>
      <c r="B17" s="71"/>
      <c r="C17" s="72"/>
      <c r="D17" s="1"/>
    </row>
    <row r="18" spans="1:4" x14ac:dyDescent="0.25">
      <c r="A18" s="1"/>
      <c r="B18" s="1"/>
      <c r="C18" s="1"/>
      <c r="D18" s="1"/>
    </row>
    <row r="19" spans="1:4" x14ac:dyDescent="0.25">
      <c r="A19" s="1"/>
      <c r="B19" s="1"/>
      <c r="C19" s="1"/>
      <c r="D19" s="1"/>
    </row>
    <row r="20" spans="1:4" x14ac:dyDescent="0.25">
      <c r="A20" s="1"/>
      <c r="B20" s="71" t="s">
        <v>39</v>
      </c>
      <c r="C20" s="72"/>
      <c r="D20" s="1"/>
    </row>
    <row r="21" spans="1:4" x14ac:dyDescent="0.25">
      <c r="A21" s="1"/>
      <c r="B21" s="23" t="s">
        <v>43</v>
      </c>
      <c r="C21" s="44">
        <v>1.7000000000000001E-2</v>
      </c>
      <c r="D21" s="1"/>
    </row>
    <row r="22" spans="1:4" x14ac:dyDescent="0.25">
      <c r="A22" s="1"/>
      <c r="B22" s="128"/>
      <c r="C22" s="12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KDpRngBkz+xBKOUgJ33o9iNEROX2dUBJGO1ByyIJHcEXdjzl3bLPfe0CtN+eSmzzZXFXs679P5eHGiWWclMPA==" saltValue="QKoWSv+Qssmygl9nAQSqr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104</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v>
      </c>
      <c r="C8" s="46"/>
      <c r="D8" s="46"/>
      <c r="E8" s="46"/>
      <c r="F8" s="46"/>
      <c r="G8" s="1"/>
    </row>
    <row r="9" spans="1:7" x14ac:dyDescent="0.25">
      <c r="A9" s="1"/>
      <c r="B9" s="45" t="s">
        <v>49</v>
      </c>
      <c r="C9" s="45"/>
      <c r="D9" s="45"/>
      <c r="E9" s="7">
        <f>'Fane 3. Omkostninger i ØR2023'!E15</f>
        <v>1545773.8131628409</v>
      </c>
      <c r="F9" s="45" t="s">
        <v>3</v>
      </c>
      <c r="G9" s="1"/>
    </row>
    <row r="10" spans="1:7" ht="17.100000000000001" customHeight="1" x14ac:dyDescent="0.25">
      <c r="A10" s="1"/>
      <c r="B10" s="24" t="s">
        <v>45</v>
      </c>
      <c r="C10" s="45"/>
      <c r="D10" s="45"/>
      <c r="E10" s="7">
        <f>'Fane 9.1. Varige tillæg'!C17+'Fane 9.1. Varige tillæg'!E17</f>
        <v>18388.731199999998</v>
      </c>
      <c r="F10" s="45" t="s">
        <v>3</v>
      </c>
      <c r="G10" s="1"/>
    </row>
    <row r="11" spans="1:7" ht="17.100000000000001" customHeight="1" x14ac:dyDescent="0.25">
      <c r="A11" s="1"/>
      <c r="B11" s="24" t="s">
        <v>46</v>
      </c>
      <c r="C11" s="45"/>
      <c r="D11" s="45"/>
      <c r="E11" s="8">
        <f>-('Fane 12. Bortfald'!C13+'Fane 12. Bortfald'!E13)</f>
        <v>0</v>
      </c>
      <c r="F11" s="45" t="s">
        <v>3</v>
      </c>
      <c r="G11" s="1"/>
    </row>
    <row r="12" spans="1:7" ht="17.100000000000001" customHeight="1" x14ac:dyDescent="0.25">
      <c r="A12" s="1"/>
      <c r="B12" s="24" t="s">
        <v>48</v>
      </c>
      <c r="C12" s="45"/>
      <c r="D12" s="45"/>
      <c r="E12" s="8">
        <f>'Fane 11. Tilknyttet virksomhed'!C14+'Fane 11. Tilknyttet virksomhed'!E14</f>
        <v>0</v>
      </c>
      <c r="F12" s="45" t="s">
        <v>3</v>
      </c>
      <c r="G12" s="1"/>
    </row>
    <row r="13" spans="1:7" ht="17.100000000000001" customHeight="1" x14ac:dyDescent="0.25">
      <c r="A13" s="1"/>
      <c r="B13" s="24" t="s">
        <v>16</v>
      </c>
      <c r="C13" s="45"/>
      <c r="D13" s="45"/>
      <c r="E13" s="8">
        <f>E9*'Fane 13. Nøgletal'!C15+SUM(E10:E12)*'Fane 13. Nøgletal'!C16</f>
        <v>56515.357229557136</v>
      </c>
      <c r="F13" s="45" t="s">
        <v>3</v>
      </c>
      <c r="G13" s="1"/>
    </row>
    <row r="14" spans="1:7" ht="17.100000000000001" customHeight="1" x14ac:dyDescent="0.25">
      <c r="A14" s="1"/>
      <c r="B14" s="24" t="s">
        <v>39</v>
      </c>
      <c r="C14" s="45"/>
      <c r="D14" s="45"/>
      <c r="E14" s="8">
        <f>-SUM(E9,E10:E13)*'Fane 13. Nøgletal'!C21</f>
        <v>-27551.524327070769</v>
      </c>
      <c r="F14" s="45" t="s">
        <v>3</v>
      </c>
      <c r="G14" s="1"/>
    </row>
    <row r="15" spans="1:7" ht="15" customHeight="1" x14ac:dyDescent="0.25">
      <c r="A15" s="1"/>
      <c r="B15" s="62" t="s">
        <v>18</v>
      </c>
      <c r="C15" s="28"/>
      <c r="D15" s="28"/>
      <c r="E15" s="9">
        <f>SUM(E9,E10:E14)</f>
        <v>1593126.3772653274</v>
      </c>
      <c r="F15" s="47" t="s">
        <v>3</v>
      </c>
      <c r="G15" s="1"/>
    </row>
    <row r="16" spans="1:7" ht="15" customHeight="1" x14ac:dyDescent="0.25">
      <c r="A16" s="1"/>
      <c r="B16" s="46" t="s">
        <v>10</v>
      </c>
      <c r="C16" s="46"/>
      <c r="D16" s="46"/>
      <c r="E16" s="46"/>
      <c r="F16" s="46"/>
      <c r="G16" s="1"/>
    </row>
    <row r="17" spans="1:7" ht="15" customHeight="1" x14ac:dyDescent="0.25">
      <c r="A17" s="1"/>
      <c r="B17" s="47" t="s">
        <v>10</v>
      </c>
      <c r="C17" s="47"/>
      <c r="D17" s="47"/>
      <c r="E17" s="9">
        <f>'Fane 4. Ikke-påvirkelige omk.'!C19</f>
        <v>171200.93347839999</v>
      </c>
      <c r="F17" s="47" t="s">
        <v>3</v>
      </c>
      <c r="G17" s="1"/>
    </row>
    <row r="18" spans="1:7" ht="15" customHeight="1" x14ac:dyDescent="0.25">
      <c r="A18" s="1"/>
      <c r="B18" s="46" t="s">
        <v>127</v>
      </c>
      <c r="C18" s="46"/>
      <c r="D18" s="46"/>
      <c r="E18" s="46"/>
      <c r="F18" s="46"/>
      <c r="G18" s="1"/>
    </row>
    <row r="19" spans="1:7" ht="15" customHeight="1" x14ac:dyDescent="0.25">
      <c r="A19" s="1"/>
      <c r="B19" s="62" t="s">
        <v>127</v>
      </c>
      <c r="C19" s="28"/>
      <c r="D19" s="28"/>
      <c r="E19" s="9">
        <f>'Fane 10. Periodevise driftsomk.'!E12</f>
        <v>8586.8588619252787</v>
      </c>
      <c r="F19" s="47" t="s">
        <v>3</v>
      </c>
      <c r="G19" s="1"/>
    </row>
    <row r="20" spans="1:7" ht="15" customHeight="1" x14ac:dyDescent="0.25">
      <c r="A20" s="1"/>
      <c r="B20" s="46" t="s">
        <v>33</v>
      </c>
      <c r="C20" s="46"/>
      <c r="D20" s="46"/>
      <c r="E20" s="46"/>
      <c r="F20" s="46"/>
      <c r="G20" s="1"/>
    </row>
    <row r="21" spans="1:7" ht="15" customHeight="1" x14ac:dyDescent="0.25">
      <c r="A21" s="1"/>
      <c r="B21" s="24" t="s">
        <v>30</v>
      </c>
      <c r="C21" s="45"/>
      <c r="D21" s="45"/>
      <c r="E21" s="8">
        <f>'Fane 9.2. Engangstillæg'!C15</f>
        <v>0</v>
      </c>
      <c r="F21" s="45" t="s">
        <v>3</v>
      </c>
      <c r="G21" s="1"/>
    </row>
    <row r="22" spans="1:7" x14ac:dyDescent="0.25">
      <c r="A22" s="1"/>
      <c r="B22" s="24" t="s">
        <v>31</v>
      </c>
      <c r="C22" s="45"/>
      <c r="D22" s="45"/>
      <c r="E22" s="8">
        <f>'Fane 9.2. Engangstillæg'!E15</f>
        <v>0</v>
      </c>
      <c r="F22" s="45" t="s">
        <v>3</v>
      </c>
      <c r="G22" s="1"/>
    </row>
    <row r="23" spans="1:7" x14ac:dyDescent="0.25">
      <c r="A23" s="1"/>
      <c r="B23" s="24" t="s">
        <v>77</v>
      </c>
      <c r="C23" s="45"/>
      <c r="D23" s="45"/>
      <c r="E23" s="8">
        <f>-SUM(E21:E22)*'Fane 13. Nøgletal'!C21</f>
        <v>0</v>
      </c>
      <c r="F23" s="45" t="s">
        <v>3</v>
      </c>
      <c r="G23" s="1"/>
    </row>
    <row r="24" spans="1:7" ht="15" customHeight="1" x14ac:dyDescent="0.25">
      <c r="A24" s="1"/>
      <c r="B24" s="62" t="s">
        <v>34</v>
      </c>
      <c r="C24" s="28"/>
      <c r="D24" s="28"/>
      <c r="E24" s="9">
        <f>SUM(E21:E23)</f>
        <v>0</v>
      </c>
      <c r="F24" s="47" t="s">
        <v>3</v>
      </c>
      <c r="G24" s="1"/>
    </row>
    <row r="25" spans="1:7" x14ac:dyDescent="0.25">
      <c r="A25" s="1"/>
      <c r="B25" s="46" t="s">
        <v>54</v>
      </c>
      <c r="C25" s="46"/>
      <c r="D25" s="46"/>
      <c r="E25" s="46"/>
      <c r="F25" s="46"/>
      <c r="G25" s="1"/>
    </row>
    <row r="26" spans="1:7" x14ac:dyDescent="0.25">
      <c r="A26" s="1"/>
      <c r="B26" s="62" t="s">
        <v>55</v>
      </c>
      <c r="C26" s="28"/>
      <c r="D26" s="28"/>
      <c r="E26" s="9">
        <f>'Fane 5. Kontrol af ØR2022'!E27</f>
        <v>41763.964745052042</v>
      </c>
      <c r="F26" s="47" t="s">
        <v>3</v>
      </c>
      <c r="G26" s="1"/>
    </row>
    <row r="27" spans="1:7" x14ac:dyDescent="0.25">
      <c r="A27" s="1"/>
      <c r="B27" s="46" t="s">
        <v>128</v>
      </c>
      <c r="C27" s="46"/>
      <c r="D27" s="46"/>
      <c r="E27" s="46"/>
      <c r="F27" s="46"/>
      <c r="G27" s="1"/>
    </row>
    <row r="28" spans="1:7" x14ac:dyDescent="0.25">
      <c r="A28" s="1"/>
      <c r="B28" s="62" t="s">
        <v>160</v>
      </c>
      <c r="C28" s="28"/>
      <c r="D28" s="28"/>
      <c r="E28" s="9">
        <f>'Fane 6. Korrektion af ØR22'!D17</f>
        <v>0</v>
      </c>
      <c r="F28" s="47" t="s">
        <v>3</v>
      </c>
      <c r="G28" s="1"/>
    </row>
    <row r="29" spans="1:7" x14ac:dyDescent="0.25">
      <c r="A29" s="1"/>
      <c r="B29" s="46" t="s">
        <v>64</v>
      </c>
      <c r="C29" s="46"/>
      <c r="D29" s="46"/>
      <c r="E29" s="46"/>
      <c r="F29" s="46"/>
      <c r="G29" s="1"/>
    </row>
    <row r="30" spans="1:7" x14ac:dyDescent="0.25">
      <c r="A30" s="1"/>
      <c r="B30" s="47" t="s">
        <v>65</v>
      </c>
      <c r="C30" s="47"/>
      <c r="D30" s="47"/>
      <c r="E30" s="9">
        <f>'Fane 7. Skattesagen'!G13</f>
        <v>0</v>
      </c>
      <c r="F30" s="47" t="s">
        <v>3</v>
      </c>
      <c r="G30" s="1"/>
    </row>
    <row r="31" spans="1:7" x14ac:dyDescent="0.25">
      <c r="A31" s="1"/>
      <c r="B31" s="46" t="s">
        <v>50</v>
      </c>
      <c r="C31" s="46"/>
      <c r="D31" s="46"/>
      <c r="E31" s="10">
        <f>SUM(E15,E17,E19,E24,E26,E28,E30)</f>
        <v>1814678.1343507045</v>
      </c>
      <c r="F31" s="11"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9wFfk84TqY39yq/fftmKROLJG4Nd8mwKEIIWOM7iqi5IItVQrh/dWY0Np6Xp+E9nocH5YxBy3FeqvH87BvgjA==" saltValue="oo5H68J9rPKIwWFb+JkKR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5.7109375" style="2" customWidth="1"/>
    <col min="3" max="3" width="0" style="2" hidden="1" customWidth="1"/>
    <col min="4" max="4" width="27" style="2" hidden="1" customWidth="1"/>
    <col min="5" max="5" width="12.710937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105</v>
      </c>
      <c r="C3" s="88"/>
      <c r="D3" s="88"/>
      <c r="E3" s="88"/>
      <c r="F3" s="88"/>
      <c r="G3" s="1"/>
    </row>
    <row r="4" spans="1:7" ht="15" customHeight="1" x14ac:dyDescent="0.25">
      <c r="A4" s="1"/>
      <c r="B4" s="88"/>
      <c r="C4" s="88"/>
      <c r="D4" s="88"/>
      <c r="E4" s="88"/>
      <c r="F4" s="88"/>
      <c r="G4" s="1"/>
    </row>
    <row r="5" spans="1:7" x14ac:dyDescent="0.25">
      <c r="A5" s="1"/>
      <c r="B5" s="89" t="s">
        <v>19</v>
      </c>
      <c r="C5" s="89"/>
      <c r="D5" s="89"/>
      <c r="E5" s="89"/>
      <c r="F5" s="89"/>
      <c r="G5" s="1"/>
    </row>
    <row r="6" spans="1:7" x14ac:dyDescent="0.25">
      <c r="A6" s="1"/>
      <c r="B6" s="1"/>
      <c r="C6" s="1"/>
      <c r="D6" s="1"/>
      <c r="E6" s="1"/>
      <c r="F6" s="1"/>
      <c r="G6" s="1"/>
    </row>
    <row r="7" spans="1:7" x14ac:dyDescent="0.25">
      <c r="A7" s="1"/>
      <c r="B7" s="46" t="s">
        <v>11</v>
      </c>
      <c r="C7" s="46"/>
      <c r="D7" s="46"/>
      <c r="E7" s="46"/>
      <c r="F7" s="46"/>
      <c r="G7" s="1"/>
    </row>
    <row r="8" spans="1:7" ht="15" customHeight="1" x14ac:dyDescent="0.25">
      <c r="A8" s="1"/>
      <c r="B8" s="45" t="s">
        <v>56</v>
      </c>
      <c r="C8" s="45"/>
      <c r="D8" s="45"/>
      <c r="E8" s="7">
        <f>'Fane 2.1. Økonomisk ramme 2024'!E15</f>
        <v>1593126.3772653274</v>
      </c>
      <c r="F8" s="45" t="s">
        <v>3</v>
      </c>
      <c r="G8" s="1"/>
    </row>
    <row r="9" spans="1:7" ht="15" customHeight="1" x14ac:dyDescent="0.25">
      <c r="A9" s="1"/>
      <c r="B9" s="27" t="s">
        <v>16</v>
      </c>
      <c r="C9" s="45"/>
      <c r="D9" s="45"/>
      <c r="E9" s="8">
        <f>SUM(E8:E8)*'Fane 13. Nøgletal'!C16</f>
        <v>128724.61128303845</v>
      </c>
      <c r="F9" s="45" t="s">
        <v>3</v>
      </c>
      <c r="G9" s="1"/>
    </row>
    <row r="10" spans="1:7" ht="15" customHeight="1" x14ac:dyDescent="0.25">
      <c r="A10" s="1"/>
      <c r="B10" s="27" t="s">
        <v>39</v>
      </c>
      <c r="C10" s="45"/>
      <c r="D10" s="45"/>
      <c r="E10" s="8">
        <f>-SUM(E8:E9)*'Fane 13. Nøgletal'!C21</f>
        <v>-29271.466805322223</v>
      </c>
      <c r="F10" s="45" t="s">
        <v>3</v>
      </c>
      <c r="G10" s="1"/>
    </row>
    <row r="11" spans="1:7" ht="15" customHeight="1" x14ac:dyDescent="0.25">
      <c r="A11" s="1"/>
      <c r="B11" s="28" t="s">
        <v>18</v>
      </c>
      <c r="C11" s="28"/>
      <c r="D11" s="28"/>
      <c r="E11" s="9">
        <f>SUM(E8:E10)</f>
        <v>1692579.5217430436</v>
      </c>
      <c r="F11" s="47" t="s">
        <v>3</v>
      </c>
      <c r="G11" s="1"/>
    </row>
    <row r="12" spans="1:7" x14ac:dyDescent="0.25">
      <c r="A12" s="1"/>
      <c r="B12" s="46" t="s">
        <v>10</v>
      </c>
      <c r="C12" s="46"/>
      <c r="D12" s="46"/>
      <c r="E12" s="46"/>
      <c r="F12" s="46"/>
      <c r="G12" s="1"/>
    </row>
    <row r="13" spans="1:7" ht="15" customHeight="1" x14ac:dyDescent="0.25">
      <c r="A13" s="1"/>
      <c r="B13" s="47" t="s">
        <v>10</v>
      </c>
      <c r="C13" s="47"/>
      <c r="D13" s="47"/>
      <c r="E13" s="9">
        <f>'Fane 4. Ikke-påvirkelige omk.'!C19*(1+'Fane 13. Nøgletal'!C16)</f>
        <v>185033.96890345472</v>
      </c>
      <c r="F13" s="47" t="s">
        <v>3</v>
      </c>
      <c r="G13" s="1"/>
    </row>
    <row r="14" spans="1:7" ht="15" customHeight="1" x14ac:dyDescent="0.25">
      <c r="A14" s="1"/>
      <c r="B14" s="46" t="s">
        <v>127</v>
      </c>
      <c r="C14" s="46"/>
      <c r="D14" s="46"/>
      <c r="E14" s="46"/>
      <c r="F14" s="46"/>
      <c r="G14" s="1"/>
    </row>
    <row r="15" spans="1:7" ht="15" customHeight="1" x14ac:dyDescent="0.25">
      <c r="A15" s="1"/>
      <c r="B15" s="62" t="s">
        <v>127</v>
      </c>
      <c r="C15" s="28"/>
      <c r="D15" s="28"/>
      <c r="E15" s="9">
        <f>'Fane 10. Periodevise driftsomk.'!E17</f>
        <v>9280.6770579688418</v>
      </c>
      <c r="F15" s="47" t="s">
        <v>3</v>
      </c>
      <c r="G15" s="1"/>
    </row>
    <row r="16" spans="1:7" x14ac:dyDescent="0.25">
      <c r="A16" s="1"/>
      <c r="B16" s="46" t="s">
        <v>54</v>
      </c>
      <c r="C16" s="46"/>
      <c r="D16" s="46"/>
      <c r="E16" s="46"/>
      <c r="F16" s="46"/>
      <c r="G16" s="1"/>
    </row>
    <row r="17" spans="1:7" x14ac:dyDescent="0.25">
      <c r="A17" s="1"/>
      <c r="B17" s="47" t="s">
        <v>66</v>
      </c>
      <c r="C17" s="47"/>
      <c r="D17" s="47"/>
      <c r="E17" s="9">
        <f>'Fane 5. Kontrol af ØR2022'!E31</f>
        <v>0</v>
      </c>
      <c r="F17" s="47" t="s">
        <v>3</v>
      </c>
      <c r="G17" s="1"/>
    </row>
    <row r="18" spans="1:7" x14ac:dyDescent="0.25">
      <c r="A18" s="1"/>
      <c r="B18" s="46" t="s">
        <v>64</v>
      </c>
      <c r="C18" s="46"/>
      <c r="D18" s="46"/>
      <c r="E18" s="46"/>
      <c r="F18" s="46"/>
      <c r="G18" s="1"/>
    </row>
    <row r="19" spans="1:7" x14ac:dyDescent="0.25">
      <c r="A19" s="1"/>
      <c r="B19" s="47" t="s">
        <v>65</v>
      </c>
      <c r="C19" s="47"/>
      <c r="D19" s="47"/>
      <c r="E19" s="9">
        <f>'Fane 7. Skattesagen'!G14</f>
        <v>0</v>
      </c>
      <c r="F19" s="47" t="s">
        <v>3</v>
      </c>
      <c r="G19" s="1"/>
    </row>
    <row r="20" spans="1:7" x14ac:dyDescent="0.25">
      <c r="A20" s="1"/>
      <c r="B20" s="46" t="s">
        <v>57</v>
      </c>
      <c r="C20" s="46"/>
      <c r="D20" s="46"/>
      <c r="E20" s="10">
        <f>SUM(E11,E13,E15,E17,E19)</f>
        <v>1886894.1677044672</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ncgaDKtopyuGuRO0EVytpyt+eCiznAheUeEFGUfu0kbP/4L2TnxGWJhgtwwyFNOmtNQXvVUayPgFn7kpmqyDQ==" saltValue="rBslp1wDI0lUWaQw5YoE5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1.140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106</v>
      </c>
      <c r="C3" s="88"/>
      <c r="D3" s="88"/>
      <c r="E3" s="88"/>
      <c r="F3" s="88"/>
      <c r="G3" s="1"/>
    </row>
    <row r="4" spans="1:7" ht="15" customHeight="1" x14ac:dyDescent="0.25">
      <c r="A4" s="1"/>
      <c r="B4" s="88"/>
      <c r="C4" s="88"/>
      <c r="D4" s="88"/>
      <c r="E4" s="88"/>
      <c r="F4" s="88"/>
      <c r="G4" s="1"/>
    </row>
    <row r="5" spans="1:7" x14ac:dyDescent="0.25">
      <c r="A5" s="1"/>
      <c r="B5" s="89" t="s">
        <v>19</v>
      </c>
      <c r="C5" s="89"/>
      <c r="D5" s="89"/>
      <c r="E5" s="89"/>
      <c r="F5" s="89"/>
      <c r="G5" s="1"/>
    </row>
    <row r="6" spans="1:7" x14ac:dyDescent="0.25">
      <c r="A6" s="1"/>
      <c r="B6" s="1"/>
      <c r="C6" s="1"/>
      <c r="D6" s="1"/>
      <c r="E6" s="1"/>
      <c r="F6" s="1"/>
      <c r="G6" s="1"/>
    </row>
    <row r="7" spans="1:7" x14ac:dyDescent="0.25">
      <c r="A7" s="1"/>
      <c r="B7" s="46" t="s">
        <v>11</v>
      </c>
      <c r="C7" s="46"/>
      <c r="D7" s="46"/>
      <c r="E7" s="46"/>
      <c r="F7" s="46"/>
      <c r="G7" s="1"/>
    </row>
    <row r="8" spans="1:7" ht="15" customHeight="1" x14ac:dyDescent="0.25">
      <c r="A8" s="1"/>
      <c r="B8" s="45" t="s">
        <v>68</v>
      </c>
      <c r="C8" s="45"/>
      <c r="D8" s="45"/>
      <c r="E8" s="7">
        <f>'Fane 2.2. Økonomisk ramme 2025'!E11</f>
        <v>1692579.5217430436</v>
      </c>
      <c r="F8" s="45" t="s">
        <v>3</v>
      </c>
      <c r="G8" s="1"/>
    </row>
    <row r="9" spans="1:7" ht="15" customHeight="1" x14ac:dyDescent="0.25">
      <c r="A9" s="1"/>
      <c r="B9" s="27" t="s">
        <v>16</v>
      </c>
      <c r="C9" s="45"/>
      <c r="D9" s="45"/>
      <c r="E9" s="8">
        <f>SUM(E8:E8)*'Fane 13. Nøgletal'!C16</f>
        <v>136760.42535683792</v>
      </c>
      <c r="F9" s="45" t="s">
        <v>3</v>
      </c>
      <c r="G9" s="1"/>
    </row>
    <row r="10" spans="1:7" ht="15" customHeight="1" x14ac:dyDescent="0.25">
      <c r="A10" s="1"/>
      <c r="B10" s="27" t="s">
        <v>39</v>
      </c>
      <c r="C10" s="45"/>
      <c r="D10" s="45"/>
      <c r="E10" s="8">
        <f>-SUM(E8:E9)*'Fane 13. Nøgletal'!C21</f>
        <v>-31098.779100697986</v>
      </c>
      <c r="F10" s="45" t="s">
        <v>3</v>
      </c>
      <c r="G10" s="1"/>
    </row>
    <row r="11" spans="1:7" x14ac:dyDescent="0.25">
      <c r="A11" s="1"/>
      <c r="B11" s="28" t="s">
        <v>18</v>
      </c>
      <c r="C11" s="28"/>
      <c r="D11" s="28"/>
      <c r="E11" s="9">
        <f>SUM(E8:E10)</f>
        <v>1798241.1679991835</v>
      </c>
      <c r="F11" s="47" t="s">
        <v>3</v>
      </c>
      <c r="G11" s="1"/>
    </row>
    <row r="12" spans="1:7" x14ac:dyDescent="0.25">
      <c r="A12" s="1"/>
      <c r="B12" s="46" t="s">
        <v>10</v>
      </c>
      <c r="C12" s="46"/>
      <c r="D12" s="46"/>
      <c r="E12" s="46"/>
      <c r="F12" s="46"/>
      <c r="G12" s="1"/>
    </row>
    <row r="13" spans="1:7" ht="15" customHeight="1" x14ac:dyDescent="0.25">
      <c r="A13" s="1"/>
      <c r="B13" s="47" t="s">
        <v>10</v>
      </c>
      <c r="C13" s="47"/>
      <c r="D13" s="47"/>
      <c r="E13" s="9">
        <f>'Fane 4. Ikke-påvirkelige omk.'!C19*(1+'Fane 13. Nøgletal'!C16)^2</f>
        <v>199984.71359085385</v>
      </c>
      <c r="F13" s="47" t="s">
        <v>3</v>
      </c>
      <c r="G13" s="1"/>
    </row>
    <row r="14" spans="1:7" ht="15" customHeight="1" x14ac:dyDescent="0.25">
      <c r="A14" s="1"/>
      <c r="B14" s="46" t="s">
        <v>127</v>
      </c>
      <c r="C14" s="46"/>
      <c r="D14" s="46"/>
      <c r="E14" s="46"/>
      <c r="F14" s="46"/>
      <c r="G14" s="1"/>
    </row>
    <row r="15" spans="1:7" ht="15" customHeight="1" x14ac:dyDescent="0.25">
      <c r="A15" s="1"/>
      <c r="B15" s="62" t="s">
        <v>127</v>
      </c>
      <c r="C15" s="28"/>
      <c r="D15" s="28"/>
      <c r="E15" s="9">
        <f>'Fane 10. Periodevise driftsomk.'!E22</f>
        <v>10030.555764252722</v>
      </c>
      <c r="F15" s="47" t="s">
        <v>3</v>
      </c>
      <c r="G15" s="1"/>
    </row>
    <row r="16" spans="1:7" ht="15" customHeight="1" x14ac:dyDescent="0.25">
      <c r="A16" s="1"/>
      <c r="B16" s="46" t="s">
        <v>54</v>
      </c>
      <c r="C16" s="46"/>
      <c r="D16" s="46"/>
      <c r="E16" s="46"/>
      <c r="F16" s="46"/>
      <c r="G16" s="1"/>
    </row>
    <row r="17" spans="1:7" ht="15" customHeight="1" x14ac:dyDescent="0.25">
      <c r="A17" s="1"/>
      <c r="B17" s="47" t="s">
        <v>55</v>
      </c>
      <c r="C17" s="47"/>
      <c r="D17" s="47"/>
      <c r="E17" s="9">
        <f>'Fane 5. Kontrol af ØR2022'!E31</f>
        <v>0</v>
      </c>
      <c r="F17" s="47" t="s">
        <v>3</v>
      </c>
      <c r="G17" s="1"/>
    </row>
    <row r="18" spans="1:7" ht="15" customHeight="1" x14ac:dyDescent="0.25">
      <c r="A18" s="1"/>
      <c r="B18" s="46" t="s">
        <v>64</v>
      </c>
      <c r="C18" s="46"/>
      <c r="D18" s="46"/>
      <c r="E18" s="46"/>
      <c r="F18" s="46"/>
      <c r="G18" s="1"/>
    </row>
    <row r="19" spans="1:7" ht="15" customHeight="1" x14ac:dyDescent="0.25">
      <c r="A19" s="1"/>
      <c r="B19" s="47" t="s">
        <v>65</v>
      </c>
      <c r="C19" s="47"/>
      <c r="D19" s="47"/>
      <c r="E19" s="9">
        <f>'Fane 7. Skattesagen'!G15</f>
        <v>0</v>
      </c>
      <c r="F19" s="47" t="s">
        <v>3</v>
      </c>
      <c r="G19" s="1"/>
    </row>
    <row r="20" spans="1:7" x14ac:dyDescent="0.25">
      <c r="A20" s="1"/>
      <c r="B20" s="46" t="s">
        <v>69</v>
      </c>
      <c r="C20" s="46"/>
      <c r="D20" s="46"/>
      <c r="E20" s="10">
        <f>SUM(E11,E13,E15,E17,E19)</f>
        <v>2008256.4373542902</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nmRzY1mkKOfeQ7JdANwmupW98F+Zh13Pwd/BPDa/zDA7V1XSf1SNhfPFnwuQPbSPiLHv2K5WY+jSqsmiw27YQ==" saltValue="/HKnlIcYvXJ71UMXG/7It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107</v>
      </c>
      <c r="C3" s="88"/>
      <c r="D3" s="88"/>
      <c r="E3" s="88"/>
      <c r="F3" s="88"/>
      <c r="G3" s="1"/>
    </row>
    <row r="4" spans="1:7" ht="15" customHeight="1" x14ac:dyDescent="0.25">
      <c r="A4" s="1"/>
      <c r="B4" s="88"/>
      <c r="C4" s="88"/>
      <c r="D4" s="88"/>
      <c r="E4" s="88"/>
      <c r="F4" s="88"/>
      <c r="G4" s="1"/>
    </row>
    <row r="5" spans="1:7" x14ac:dyDescent="0.25">
      <c r="A5" s="1"/>
      <c r="B5" s="89" t="s">
        <v>19</v>
      </c>
      <c r="C5" s="89"/>
      <c r="D5" s="89"/>
      <c r="E5" s="89"/>
      <c r="F5" s="89"/>
      <c r="G5" s="1"/>
    </row>
    <row r="6" spans="1:7" x14ac:dyDescent="0.25">
      <c r="A6" s="1"/>
      <c r="B6" s="1"/>
      <c r="C6" s="1"/>
      <c r="D6" s="1"/>
      <c r="E6" s="1"/>
      <c r="F6" s="1"/>
      <c r="G6" s="1"/>
    </row>
    <row r="7" spans="1:7" x14ac:dyDescent="0.25">
      <c r="A7" s="1"/>
      <c r="B7" s="46" t="s">
        <v>11</v>
      </c>
      <c r="C7" s="46"/>
      <c r="D7" s="46"/>
      <c r="E7" s="46"/>
      <c r="F7" s="46"/>
      <c r="G7" s="1"/>
    </row>
    <row r="8" spans="1:7" ht="15" customHeight="1" x14ac:dyDescent="0.25">
      <c r="A8" s="1"/>
      <c r="B8" s="45" t="s">
        <v>108</v>
      </c>
      <c r="C8" s="45"/>
      <c r="D8" s="45"/>
      <c r="E8" s="7">
        <f>'Fane 2.3. Økonomisk ramme 2026'!E11</f>
        <v>1798241.1679991835</v>
      </c>
      <c r="F8" s="45" t="s">
        <v>3</v>
      </c>
      <c r="G8" s="1"/>
    </row>
    <row r="9" spans="1:7" ht="15" customHeight="1" x14ac:dyDescent="0.25">
      <c r="A9" s="1"/>
      <c r="B9" s="27" t="s">
        <v>16</v>
      </c>
      <c r="C9" s="45"/>
      <c r="D9" s="45"/>
      <c r="E9" s="8">
        <f>SUM(E8:E8)*'Fane 13. Nøgletal'!C16</f>
        <v>145297.88637433402</v>
      </c>
      <c r="F9" s="45" t="s">
        <v>3</v>
      </c>
      <c r="G9" s="1"/>
    </row>
    <row r="10" spans="1:7" ht="15" customHeight="1" x14ac:dyDescent="0.25">
      <c r="A10" s="1"/>
      <c r="B10" s="27" t="s">
        <v>39</v>
      </c>
      <c r="C10" s="45"/>
      <c r="D10" s="45"/>
      <c r="E10" s="8">
        <f>-SUM(E8:E9)*'Fane 13. Nøgletal'!C21</f>
        <v>-33040.163924349799</v>
      </c>
      <c r="F10" s="45" t="s">
        <v>3</v>
      </c>
      <c r="G10" s="1"/>
    </row>
    <row r="11" spans="1:7" x14ac:dyDescent="0.25">
      <c r="A11" s="1"/>
      <c r="B11" s="28" t="s">
        <v>18</v>
      </c>
      <c r="C11" s="28"/>
      <c r="D11" s="28"/>
      <c r="E11" s="9">
        <f>SUM(E8:E10)</f>
        <v>1910498.8904491679</v>
      </c>
      <c r="F11" s="47" t="s">
        <v>3</v>
      </c>
      <c r="G11" s="1"/>
    </row>
    <row r="12" spans="1:7" x14ac:dyDescent="0.25">
      <c r="A12" s="1"/>
      <c r="B12" s="46" t="s">
        <v>10</v>
      </c>
      <c r="C12" s="46"/>
      <c r="D12" s="46"/>
      <c r="E12" s="46"/>
      <c r="F12" s="46"/>
      <c r="G12" s="1"/>
    </row>
    <row r="13" spans="1:7" ht="15" customHeight="1" x14ac:dyDescent="0.25">
      <c r="A13" s="1"/>
      <c r="B13" s="47" t="s">
        <v>10</v>
      </c>
      <c r="C13" s="47"/>
      <c r="D13" s="47"/>
      <c r="E13" s="9">
        <f>'Fane 4. Ikke-påvirkelige omk.'!C19*(1+'Fane 13. Nøgletal'!C16)^3</f>
        <v>216143.47844899484</v>
      </c>
      <c r="F13" s="47" t="s">
        <v>3</v>
      </c>
      <c r="G13" s="1"/>
    </row>
    <row r="14" spans="1:7" ht="15" customHeight="1" x14ac:dyDescent="0.25">
      <c r="A14" s="1"/>
      <c r="B14" s="46" t="s">
        <v>127</v>
      </c>
      <c r="C14" s="46"/>
      <c r="D14" s="46"/>
      <c r="E14" s="46"/>
      <c r="F14" s="46"/>
      <c r="G14" s="1"/>
    </row>
    <row r="15" spans="1:7" ht="15" customHeight="1" x14ac:dyDescent="0.25">
      <c r="A15" s="1"/>
      <c r="B15" s="62" t="s">
        <v>127</v>
      </c>
      <c r="C15" s="28"/>
      <c r="D15" s="28"/>
      <c r="E15" s="9">
        <f>'Fane 10. Periodevise driftsomk.'!E27</f>
        <v>10841.024670004343</v>
      </c>
      <c r="F15" s="47" t="s">
        <v>3</v>
      </c>
      <c r="G15" s="1"/>
    </row>
    <row r="16" spans="1:7" ht="15" customHeight="1" x14ac:dyDescent="0.25">
      <c r="A16" s="1"/>
      <c r="B16" s="46" t="s">
        <v>54</v>
      </c>
      <c r="C16" s="46"/>
      <c r="D16" s="46"/>
      <c r="E16" s="46"/>
      <c r="F16" s="46"/>
      <c r="G16" s="1"/>
    </row>
    <row r="17" spans="1:7" ht="15" customHeight="1" x14ac:dyDescent="0.25">
      <c r="A17" s="1"/>
      <c r="B17" s="47" t="s">
        <v>55</v>
      </c>
      <c r="C17" s="47"/>
      <c r="D17" s="47"/>
      <c r="E17" s="9">
        <v>0</v>
      </c>
      <c r="F17" s="47" t="s">
        <v>3</v>
      </c>
      <c r="G17" s="1"/>
    </row>
    <row r="18" spans="1:7" ht="15" customHeight="1" x14ac:dyDescent="0.25">
      <c r="A18" s="1"/>
      <c r="B18" s="46" t="s">
        <v>64</v>
      </c>
      <c r="C18" s="46"/>
      <c r="D18" s="46"/>
      <c r="E18" s="46"/>
      <c r="F18" s="46"/>
      <c r="G18" s="1"/>
    </row>
    <row r="19" spans="1:7" ht="15" customHeight="1" x14ac:dyDescent="0.25">
      <c r="A19" s="1"/>
      <c r="B19" s="47" t="s">
        <v>65</v>
      </c>
      <c r="C19" s="47"/>
      <c r="D19" s="47"/>
      <c r="E19" s="9">
        <f>'Fane 7. Skattesagen'!G16</f>
        <v>0</v>
      </c>
      <c r="F19" s="47" t="s">
        <v>3</v>
      </c>
      <c r="G19" s="1"/>
    </row>
    <row r="20" spans="1:7" x14ac:dyDescent="0.25">
      <c r="A20" s="1"/>
      <c r="B20" s="46" t="s">
        <v>109</v>
      </c>
      <c r="C20" s="46"/>
      <c r="D20" s="46"/>
      <c r="E20" s="10">
        <f>SUM(E11,E13,E15,E17,E19)</f>
        <v>2137483.393568167</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UErjG3w6dBph5CUiw+mB1TQ44Fyap7IkEyzZgQbuvvppISfDvCwS38iWSaHbHJwDZ/HtSNdz1tB15zwrhERfw==" saltValue="ndOcEy3nlbfY3K245vCT4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0" t="s">
        <v>111</v>
      </c>
      <c r="C3" s="90"/>
      <c r="D3" s="90"/>
      <c r="E3" s="90"/>
      <c r="F3" s="90"/>
      <c r="G3" s="1"/>
    </row>
    <row r="4" spans="1:7"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110</v>
      </c>
      <c r="C8" s="46"/>
      <c r="D8" s="46"/>
      <c r="E8" s="46"/>
      <c r="F8" s="46"/>
      <c r="G8" s="1"/>
    </row>
    <row r="9" spans="1:7" x14ac:dyDescent="0.25">
      <c r="A9" s="1"/>
      <c r="B9" s="45" t="s">
        <v>120</v>
      </c>
      <c r="C9" s="45"/>
      <c r="D9" s="45"/>
      <c r="E9" s="7">
        <v>1518449.616012617</v>
      </c>
      <c r="F9" s="45" t="s">
        <v>3</v>
      </c>
      <c r="G9" s="1"/>
    </row>
    <row r="10" spans="1:7" x14ac:dyDescent="0.25">
      <c r="A10" s="1"/>
      <c r="B10" s="24" t="s">
        <v>45</v>
      </c>
      <c r="C10" s="45"/>
      <c r="D10" s="45"/>
      <c r="E10" s="7">
        <v>0</v>
      </c>
      <c r="F10" s="45" t="s">
        <v>3</v>
      </c>
      <c r="G10" s="1"/>
    </row>
    <row r="11" spans="1:7" x14ac:dyDescent="0.25">
      <c r="A11" s="1"/>
      <c r="B11" s="24" t="s">
        <v>46</v>
      </c>
      <c r="C11" s="45"/>
      <c r="D11" s="45"/>
      <c r="E11" s="8">
        <v>0</v>
      </c>
      <c r="F11" s="45" t="s">
        <v>3</v>
      </c>
      <c r="G11" s="1"/>
    </row>
    <row r="12" spans="1:7" x14ac:dyDescent="0.25">
      <c r="A12" s="1"/>
      <c r="B12" s="24" t="s">
        <v>48</v>
      </c>
      <c r="C12" s="45"/>
      <c r="D12" s="45"/>
      <c r="E12" s="8">
        <v>0</v>
      </c>
      <c r="F12" s="45" t="s">
        <v>3</v>
      </c>
      <c r="G12" s="1"/>
    </row>
    <row r="13" spans="1:7" x14ac:dyDescent="0.25">
      <c r="A13" s="1"/>
      <c r="B13" s="24" t="s">
        <v>16</v>
      </c>
      <c r="C13" s="45"/>
      <c r="D13" s="45"/>
      <c r="E13" s="8">
        <v>54056.806330049163</v>
      </c>
      <c r="F13" s="45" t="s">
        <v>3</v>
      </c>
      <c r="G13" s="1"/>
    </row>
    <row r="14" spans="1:7" x14ac:dyDescent="0.25">
      <c r="A14" s="1"/>
      <c r="B14" s="24" t="s">
        <v>39</v>
      </c>
      <c r="C14" s="45"/>
      <c r="D14" s="45"/>
      <c r="E14" s="8">
        <v>-26732.609179825326</v>
      </c>
      <c r="F14" s="45" t="s">
        <v>3</v>
      </c>
      <c r="G14" s="1"/>
    </row>
    <row r="15" spans="1:7" x14ac:dyDescent="0.25">
      <c r="A15" s="1"/>
      <c r="B15" s="62" t="s">
        <v>18</v>
      </c>
      <c r="C15" s="28"/>
      <c r="D15" s="28"/>
      <c r="E15" s="9">
        <v>1545773.8131628409</v>
      </c>
      <c r="F15" s="47" t="s">
        <v>3</v>
      </c>
      <c r="G15" s="1"/>
    </row>
    <row r="16" spans="1:7" x14ac:dyDescent="0.25">
      <c r="A16" s="1"/>
      <c r="B16" s="46" t="s">
        <v>10</v>
      </c>
      <c r="C16" s="46"/>
      <c r="D16" s="46"/>
      <c r="E16" s="46"/>
      <c r="F16" s="46"/>
      <c r="G16" s="1"/>
    </row>
    <row r="17" spans="1:7" x14ac:dyDescent="0.25">
      <c r="A17" s="1"/>
      <c r="B17" s="47" t="s">
        <v>10</v>
      </c>
      <c r="C17" s="47"/>
      <c r="D17" s="47"/>
      <c r="E17" s="9">
        <v>11663.082540000001</v>
      </c>
      <c r="F17" s="47" t="s">
        <v>3</v>
      </c>
      <c r="G17" s="1"/>
    </row>
    <row r="18" spans="1:7" x14ac:dyDescent="0.25">
      <c r="A18" s="1"/>
      <c r="B18" s="46" t="s">
        <v>127</v>
      </c>
      <c r="C18" s="46"/>
      <c r="D18" s="46"/>
      <c r="E18" s="46"/>
      <c r="F18" s="46"/>
      <c r="G18" s="1"/>
    </row>
    <row r="19" spans="1:7" x14ac:dyDescent="0.25">
      <c r="A19" s="1"/>
      <c r="B19" s="62" t="s">
        <v>127</v>
      </c>
      <c r="C19" s="28"/>
      <c r="D19" s="28"/>
      <c r="E19" s="9">
        <v>7857.7267795976786</v>
      </c>
      <c r="F19" s="47" t="s">
        <v>3</v>
      </c>
      <c r="G19" s="1"/>
    </row>
    <row r="20" spans="1:7" x14ac:dyDescent="0.25">
      <c r="A20" s="1"/>
      <c r="B20" s="46" t="s">
        <v>33</v>
      </c>
      <c r="C20" s="46"/>
      <c r="D20" s="46"/>
      <c r="E20" s="46"/>
      <c r="F20" s="46"/>
      <c r="G20" s="1"/>
    </row>
    <row r="21" spans="1:7" x14ac:dyDescent="0.25">
      <c r="A21" s="1"/>
      <c r="B21" s="24" t="s">
        <v>30</v>
      </c>
      <c r="C21" s="45"/>
      <c r="D21" s="45"/>
      <c r="E21" s="8">
        <v>0</v>
      </c>
      <c r="F21" s="45" t="s">
        <v>3</v>
      </c>
      <c r="G21" s="1"/>
    </row>
    <row r="22" spans="1:7" x14ac:dyDescent="0.25">
      <c r="A22" s="1"/>
      <c r="B22" s="24" t="s">
        <v>31</v>
      </c>
      <c r="C22" s="45"/>
      <c r="D22" s="45"/>
      <c r="E22" s="8">
        <v>0</v>
      </c>
      <c r="F22" s="45" t="s">
        <v>3</v>
      </c>
      <c r="G22" s="1"/>
    </row>
    <row r="23" spans="1:7" x14ac:dyDescent="0.25">
      <c r="A23" s="1"/>
      <c r="B23" s="24" t="s">
        <v>77</v>
      </c>
      <c r="C23" s="45"/>
      <c r="D23" s="45"/>
      <c r="E23" s="8">
        <v>0</v>
      </c>
      <c r="F23" s="45" t="s">
        <v>3</v>
      </c>
      <c r="G23" s="1"/>
    </row>
    <row r="24" spans="1:7" x14ac:dyDescent="0.25">
      <c r="A24" s="1"/>
      <c r="B24" s="62" t="s">
        <v>34</v>
      </c>
      <c r="C24" s="28"/>
      <c r="D24" s="28"/>
      <c r="E24" s="9">
        <v>0</v>
      </c>
      <c r="F24" s="47" t="s">
        <v>3</v>
      </c>
      <c r="G24" s="1"/>
    </row>
    <row r="25" spans="1:7" x14ac:dyDescent="0.25">
      <c r="A25" s="1"/>
      <c r="B25" s="46" t="s">
        <v>54</v>
      </c>
      <c r="C25" s="46"/>
      <c r="D25" s="46"/>
      <c r="E25" s="46"/>
      <c r="F25" s="46"/>
      <c r="G25" s="1"/>
    </row>
    <row r="26" spans="1:7" x14ac:dyDescent="0.25">
      <c r="A26" s="1"/>
      <c r="B26" s="62" t="s">
        <v>55</v>
      </c>
      <c r="C26" s="48"/>
      <c r="D26" s="48"/>
      <c r="E26" s="9">
        <v>-63154.030004326203</v>
      </c>
      <c r="F26" s="47" t="s">
        <v>3</v>
      </c>
      <c r="G26" s="1"/>
    </row>
    <row r="27" spans="1:7" x14ac:dyDescent="0.25">
      <c r="A27" s="1"/>
      <c r="B27" s="46" t="s">
        <v>128</v>
      </c>
      <c r="C27" s="46"/>
      <c r="D27" s="46"/>
      <c r="E27" s="49"/>
      <c r="F27" s="46"/>
      <c r="G27" s="1"/>
    </row>
    <row r="28" spans="1:7" x14ac:dyDescent="0.25">
      <c r="A28" s="1"/>
      <c r="B28" s="47" t="s">
        <v>129</v>
      </c>
      <c r="C28" s="47"/>
      <c r="D28" s="47"/>
      <c r="E28" s="9">
        <v>-36119.126954614345</v>
      </c>
      <c r="F28" s="47" t="s">
        <v>3</v>
      </c>
      <c r="G28" s="1"/>
    </row>
    <row r="29" spans="1:7" x14ac:dyDescent="0.25">
      <c r="A29" s="1"/>
      <c r="B29" s="46" t="s">
        <v>64</v>
      </c>
      <c r="C29" s="46"/>
      <c r="D29" s="46"/>
      <c r="E29" s="46"/>
      <c r="F29" s="46"/>
      <c r="G29" s="1"/>
    </row>
    <row r="30" spans="1:7" x14ac:dyDescent="0.25">
      <c r="A30" s="1"/>
      <c r="B30" s="47" t="s">
        <v>65</v>
      </c>
      <c r="C30" s="47"/>
      <c r="D30" s="47"/>
      <c r="E30" s="9">
        <v>0</v>
      </c>
      <c r="F30" s="47" t="s">
        <v>3</v>
      </c>
      <c r="G30" s="1"/>
    </row>
    <row r="31" spans="1:7" x14ac:dyDescent="0.25">
      <c r="A31" s="1"/>
      <c r="B31" s="46" t="s">
        <v>130</v>
      </c>
      <c r="C31" s="46"/>
      <c r="D31" s="46"/>
      <c r="E31" s="10">
        <v>1466021.4655234979</v>
      </c>
      <c r="F31" s="11" t="s">
        <v>3</v>
      </c>
      <c r="G31" s="1"/>
    </row>
    <row r="32" spans="1:7" ht="30" customHeight="1" x14ac:dyDescent="0.25">
      <c r="A32" s="1"/>
      <c r="B32" s="91" t="s">
        <v>161</v>
      </c>
      <c r="C32" s="91"/>
      <c r="D32" s="91"/>
      <c r="E32" s="91"/>
      <c r="F32" s="9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30"/>
      <c r="B49" s="30"/>
      <c r="C49" s="30"/>
      <c r="D49" s="30"/>
      <c r="E49" s="30"/>
      <c r="F49" s="30"/>
      <c r="G49" s="30"/>
    </row>
    <row r="50" spans="1:7" x14ac:dyDescent="0.25">
      <c r="A50" s="30"/>
      <c r="B50" s="30"/>
      <c r="C50" s="30"/>
      <c r="D50" s="30"/>
      <c r="E50" s="30"/>
      <c r="F50" s="30"/>
    </row>
  </sheetData>
  <sheetProtection algorithmName="SHA-512" hashValue="0PYbxnCJK1AJQHfgXcP0w2WCkov3tPIooBA6OaiKhSTWJOnZaoqrBDt56KeDhhuCuY4MgAclpxRKaJQflrb31Q==" saltValue="zWjL7W8zj7P4LOjnALdgL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32:F32"/>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4"/>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8" t="s">
        <v>38</v>
      </c>
      <c r="C3" s="88"/>
      <c r="D3" s="88"/>
      <c r="E3" s="1"/>
      <c r="F3" s="1"/>
    </row>
    <row r="4" spans="1:6" ht="15" customHeight="1" x14ac:dyDescent="0.25">
      <c r="A4" s="1"/>
      <c r="B4" s="88"/>
      <c r="C4" s="88"/>
      <c r="D4" s="8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2" t="s">
        <v>112</v>
      </c>
      <c r="C8" s="93"/>
      <c r="D8" s="94"/>
      <c r="E8" s="1"/>
      <c r="F8" s="1"/>
    </row>
    <row r="9" spans="1:6" ht="15" customHeight="1" x14ac:dyDescent="0.25">
      <c r="A9" s="1"/>
      <c r="B9" s="17" t="s">
        <v>23</v>
      </c>
      <c r="C9" s="47" t="s">
        <v>113</v>
      </c>
      <c r="D9" s="47"/>
      <c r="E9" s="1"/>
      <c r="F9" s="1"/>
    </row>
    <row r="10" spans="1:6" ht="15" customHeight="1" x14ac:dyDescent="0.25">
      <c r="A10" s="1"/>
      <c r="B10" s="23" t="s">
        <v>164</v>
      </c>
      <c r="C10" s="8">
        <v>11345</v>
      </c>
      <c r="D10" s="12" t="s">
        <v>3</v>
      </c>
      <c r="E10" s="1"/>
      <c r="F10" s="1"/>
    </row>
    <row r="11" spans="1:6" ht="26.25" x14ac:dyDescent="0.25">
      <c r="A11" s="1"/>
      <c r="B11" s="51" t="s">
        <v>165</v>
      </c>
      <c r="C11" s="8">
        <v>134086</v>
      </c>
      <c r="D11" s="12" t="s">
        <v>3</v>
      </c>
      <c r="E11" s="1"/>
      <c r="F11" s="1"/>
    </row>
    <row r="12" spans="1:6" x14ac:dyDescent="0.25">
      <c r="A12" s="1"/>
      <c r="B12" s="23" t="s">
        <v>166</v>
      </c>
      <c r="C12" s="8">
        <v>1129</v>
      </c>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1" t="s">
        <v>114</v>
      </c>
      <c r="C18" s="10">
        <f>SUM(C10:C17)</f>
        <v>146560</v>
      </c>
      <c r="D18" s="11" t="s">
        <v>3</v>
      </c>
      <c r="E18" s="1"/>
      <c r="F18" s="1"/>
    </row>
    <row r="19" spans="1:6" x14ac:dyDescent="0.25">
      <c r="A19" s="1"/>
      <c r="B19" s="71" t="s">
        <v>115</v>
      </c>
      <c r="C19" s="10">
        <f>C18*(1+'Fane 13. Nøgletal'!C16)^2</f>
        <v>171200.93347839999</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30"/>
      <c r="B50" s="30"/>
      <c r="C50" s="30"/>
      <c r="D50" s="30"/>
      <c r="E50" s="30"/>
      <c r="F50" s="30"/>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sheetData>
  <sheetProtection algorithmName="SHA-512" hashValue="IRMd1AYHC9XhZeOZ4PJakNLBmPruWj0g0dH6KAbCol5EoiPEreAiZ4KBLjcLZEW0QkmzJaRVwj0/Obn2t3hUbQ==" saltValue="FxCt0ZVy5TCJnISCJSVWm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0" t="s">
        <v>116</v>
      </c>
      <c r="C3" s="90"/>
      <c r="D3" s="90"/>
      <c r="E3" s="90"/>
      <c r="F3" s="90"/>
      <c r="G3" s="1"/>
    </row>
    <row r="4" spans="1:7" ht="15" customHeight="1" x14ac:dyDescent="0.25">
      <c r="A4" s="1"/>
      <c r="B4" s="90"/>
      <c r="C4" s="90"/>
      <c r="D4" s="90"/>
      <c r="E4" s="90"/>
      <c r="F4" s="90"/>
      <c r="G4" s="1"/>
    </row>
    <row r="5" spans="1:7" ht="15" customHeight="1" x14ac:dyDescent="0.25">
      <c r="A5" s="1"/>
      <c r="B5" s="55"/>
      <c r="C5" s="55"/>
      <c r="D5" s="55"/>
      <c r="E5" s="55"/>
      <c r="F5" s="55"/>
      <c r="G5" s="1"/>
    </row>
    <row r="6" spans="1:7" ht="15" customHeight="1" x14ac:dyDescent="0.25">
      <c r="A6" s="1"/>
      <c r="B6" s="55"/>
      <c r="C6" s="55"/>
      <c r="D6" s="55"/>
      <c r="E6" s="55"/>
      <c r="F6" s="55"/>
      <c r="G6" s="1"/>
    </row>
    <row r="7" spans="1:7" x14ac:dyDescent="0.25">
      <c r="A7" s="1"/>
      <c r="B7" s="1"/>
      <c r="C7" s="1"/>
      <c r="D7" s="1"/>
      <c r="E7" s="1"/>
      <c r="F7" s="1"/>
      <c r="G7" s="1"/>
    </row>
    <row r="8" spans="1:7" x14ac:dyDescent="0.25">
      <c r="A8" s="1"/>
      <c r="B8" s="92" t="s">
        <v>61</v>
      </c>
      <c r="C8" s="93"/>
      <c r="D8" s="93"/>
      <c r="E8" s="93"/>
      <c r="F8" s="94"/>
      <c r="G8" s="1"/>
    </row>
    <row r="9" spans="1:7" x14ac:dyDescent="0.25">
      <c r="A9" s="1"/>
      <c r="B9" s="98" t="s">
        <v>167</v>
      </c>
      <c r="C9" s="99"/>
      <c r="D9" s="100"/>
      <c r="E9" s="130">
        <v>3121.8681808607653</v>
      </c>
      <c r="F9" s="12" t="s">
        <v>3</v>
      </c>
      <c r="G9" s="1"/>
    </row>
    <row r="10" spans="1:7" x14ac:dyDescent="0.25">
      <c r="A10" s="1"/>
      <c r="B10" s="71"/>
      <c r="C10" s="22"/>
      <c r="D10" s="22"/>
      <c r="E10" s="22"/>
      <c r="F10" s="72"/>
      <c r="G10" s="1"/>
    </row>
    <row r="11" spans="1:7" ht="57" customHeight="1" x14ac:dyDescent="0.25">
      <c r="A11" s="1"/>
      <c r="B11" s="105" t="s">
        <v>175</v>
      </c>
      <c r="C11" s="106"/>
      <c r="D11" s="106"/>
      <c r="E11" s="106"/>
      <c r="F11" s="107"/>
      <c r="G11" s="1"/>
    </row>
    <row r="12" spans="1:7" x14ac:dyDescent="0.25">
      <c r="A12" s="1"/>
      <c r="B12" s="1"/>
      <c r="C12" s="1"/>
      <c r="D12" s="1"/>
      <c r="E12" s="1"/>
      <c r="F12" s="1"/>
      <c r="G12" s="1"/>
    </row>
    <row r="13" spans="1:7" x14ac:dyDescent="0.25">
      <c r="A13" s="1"/>
      <c r="B13" s="92" t="s">
        <v>62</v>
      </c>
      <c r="C13" s="93"/>
      <c r="D13" s="93"/>
      <c r="E13" s="93"/>
      <c r="F13" s="94"/>
      <c r="G13" s="1"/>
    </row>
    <row r="14" spans="1:7" x14ac:dyDescent="0.25">
      <c r="A14" s="1"/>
      <c r="B14" s="98" t="s">
        <v>70</v>
      </c>
      <c r="C14" s="99"/>
      <c r="D14" s="100"/>
      <c r="E14" s="8">
        <v>-63154.030004326138</v>
      </c>
      <c r="F14" s="12" t="s">
        <v>3</v>
      </c>
      <c r="G14" s="1"/>
    </row>
    <row r="15" spans="1:7" x14ac:dyDescent="0.25">
      <c r="A15" s="1"/>
      <c r="B15" s="98" t="s">
        <v>98</v>
      </c>
      <c r="C15" s="99"/>
      <c r="D15" s="100"/>
      <c r="E15" s="8">
        <v>-63154.030004326138</v>
      </c>
      <c r="F15" s="12" t="s">
        <v>3</v>
      </c>
      <c r="G15" s="1"/>
    </row>
    <row r="16" spans="1:7" x14ac:dyDescent="0.25">
      <c r="A16" s="1"/>
      <c r="B16" s="71"/>
      <c r="C16" s="22"/>
      <c r="D16" s="22"/>
      <c r="E16" s="22"/>
      <c r="F16" s="72"/>
      <c r="G16" s="1"/>
    </row>
    <row r="17" spans="1:7" ht="30.75" customHeight="1" x14ac:dyDescent="0.25">
      <c r="A17" s="1"/>
      <c r="B17" s="105" t="s">
        <v>176</v>
      </c>
      <c r="C17" s="106"/>
      <c r="D17" s="106"/>
      <c r="E17" s="106"/>
      <c r="F17" s="107"/>
      <c r="G17" s="1"/>
    </row>
    <row r="18" spans="1:7" ht="27" customHeight="1" x14ac:dyDescent="0.25">
      <c r="A18" s="1"/>
      <c r="B18" s="1"/>
      <c r="C18" s="1"/>
      <c r="D18" s="1"/>
      <c r="E18" s="1"/>
      <c r="F18" s="1"/>
      <c r="G18" s="1"/>
    </row>
    <row r="19" spans="1:7" x14ac:dyDescent="0.25">
      <c r="A19" s="1"/>
      <c r="B19" s="56" t="s">
        <v>168</v>
      </c>
      <c r="C19" s="57"/>
      <c r="D19" s="57"/>
      <c r="E19" s="57"/>
      <c r="F19" s="58"/>
      <c r="G19" s="1"/>
    </row>
    <row r="20" spans="1:7" x14ac:dyDescent="0.25">
      <c r="A20" s="1"/>
      <c r="B20" s="59" t="s">
        <v>169</v>
      </c>
      <c r="C20" s="60"/>
      <c r="D20" s="61"/>
      <c r="E20" s="8">
        <v>1492497.9947493782</v>
      </c>
      <c r="F20" s="12" t="s">
        <v>3</v>
      </c>
      <c r="G20" s="1"/>
    </row>
    <row r="21" spans="1:7" x14ac:dyDescent="0.25">
      <c r="A21" s="1"/>
      <c r="B21" s="59" t="s">
        <v>170</v>
      </c>
      <c r="C21" s="60"/>
      <c r="D21" s="61"/>
      <c r="E21" s="8">
        <v>1387580</v>
      </c>
      <c r="F21" s="12" t="s">
        <v>3</v>
      </c>
      <c r="G21" s="1"/>
    </row>
    <row r="22" spans="1:7" x14ac:dyDescent="0.25">
      <c r="A22" s="1"/>
      <c r="B22" s="59" t="s">
        <v>24</v>
      </c>
      <c r="C22" s="60"/>
      <c r="D22" s="61"/>
      <c r="E22" s="8">
        <v>0</v>
      </c>
      <c r="F22" s="12" t="s">
        <v>3</v>
      </c>
      <c r="G22" s="1"/>
    </row>
    <row r="23" spans="1:7" x14ac:dyDescent="0.25">
      <c r="A23" s="1"/>
      <c r="B23" s="63" t="s">
        <v>171</v>
      </c>
      <c r="C23" s="64"/>
      <c r="D23" s="65"/>
      <c r="E23" s="9">
        <f>E20-(E21-E22)</f>
        <v>104917.99474937818</v>
      </c>
      <c r="F23" s="15" t="s">
        <v>3</v>
      </c>
      <c r="G23" s="1"/>
    </row>
    <row r="24" spans="1:7" x14ac:dyDescent="0.25">
      <c r="A24" s="1"/>
      <c r="B24" s="71"/>
      <c r="C24" s="22"/>
      <c r="D24" s="22"/>
      <c r="E24" s="22"/>
      <c r="F24" s="72"/>
      <c r="G24" s="1"/>
    </row>
    <row r="25" spans="1:7" x14ac:dyDescent="0.25">
      <c r="A25" s="1"/>
      <c r="B25" s="1"/>
      <c r="C25" s="1"/>
      <c r="D25" s="1"/>
      <c r="E25" s="1"/>
      <c r="F25" s="1"/>
      <c r="G25" s="1"/>
    </row>
    <row r="26" spans="1:7" x14ac:dyDescent="0.25">
      <c r="A26" s="1"/>
      <c r="B26" s="92" t="s">
        <v>172</v>
      </c>
      <c r="C26" s="93"/>
      <c r="D26" s="93"/>
      <c r="E26" s="93"/>
      <c r="F26" s="94"/>
      <c r="G26" s="1"/>
    </row>
    <row r="27" spans="1:7" x14ac:dyDescent="0.25">
      <c r="A27" s="1"/>
      <c r="B27" s="108" t="s">
        <v>173</v>
      </c>
      <c r="C27" s="109"/>
      <c r="D27" s="110"/>
      <c r="E27" s="52">
        <f>IF(AND(E15&lt;0,E23&gt;0,ABS(SUM(E14:E15))&lt;E23),ABS(E14),IF(AND(E15&lt;0,E23&gt;0,ABS(SUM(E14:E15))&gt;E23),SUM(E14,E23),0))</f>
        <v>41763.964745052042</v>
      </c>
      <c r="F27" s="15" t="s">
        <v>3</v>
      </c>
      <c r="G27" s="1"/>
    </row>
    <row r="28" spans="1:7" x14ac:dyDescent="0.25">
      <c r="A28" s="1"/>
      <c r="B28" s="92"/>
      <c r="C28" s="93"/>
      <c r="D28" s="93"/>
      <c r="E28" s="93"/>
      <c r="F28" s="94"/>
      <c r="G28" s="1"/>
    </row>
    <row r="29" spans="1:7" x14ac:dyDescent="0.25">
      <c r="A29" s="1"/>
      <c r="B29" s="1"/>
      <c r="C29" s="1"/>
      <c r="D29" s="1"/>
      <c r="E29" s="1"/>
      <c r="F29" s="1"/>
      <c r="G29" s="1"/>
    </row>
    <row r="30" spans="1:7" x14ac:dyDescent="0.25">
      <c r="A30" s="1"/>
      <c r="B30" s="92" t="s">
        <v>174</v>
      </c>
      <c r="C30" s="93"/>
      <c r="D30" s="93"/>
      <c r="E30" s="93"/>
      <c r="F30" s="94"/>
      <c r="G30" s="1"/>
    </row>
    <row r="31" spans="1:7" x14ac:dyDescent="0.25">
      <c r="A31" s="1"/>
      <c r="B31" s="101" t="s">
        <v>54</v>
      </c>
      <c r="C31" s="102"/>
      <c r="D31" s="103"/>
      <c r="E31" s="53">
        <f>IF(AND(E9&gt;0,(E9+E23)&gt;0),0,IF(AND(E9&gt;0,(E9+E23)&lt;0),(E9+E23),IF(AND(E9&lt;0,E23&lt;0),E23,0)))</f>
        <v>0</v>
      </c>
      <c r="F31" s="12" t="s">
        <v>3</v>
      </c>
      <c r="G31" s="1"/>
    </row>
    <row r="32" spans="1:7" x14ac:dyDescent="0.25">
      <c r="A32" s="1"/>
      <c r="B32" s="101" t="s">
        <v>40</v>
      </c>
      <c r="C32" s="102"/>
      <c r="D32" s="103"/>
      <c r="E32" s="8">
        <v>2</v>
      </c>
      <c r="F32" s="12" t="s">
        <v>17</v>
      </c>
      <c r="G32" s="1"/>
    </row>
    <row r="33" spans="1:7" x14ac:dyDescent="0.25">
      <c r="A33" s="1"/>
      <c r="B33" s="104" t="s">
        <v>63</v>
      </c>
      <c r="C33" s="104"/>
      <c r="D33" s="104"/>
      <c r="E33" s="52">
        <f>E31/E32</f>
        <v>0</v>
      </c>
      <c r="F33" s="15" t="s">
        <v>3</v>
      </c>
      <c r="G33" s="1"/>
    </row>
    <row r="34" spans="1:7" x14ac:dyDescent="0.25">
      <c r="A34" s="1"/>
      <c r="B34" s="95"/>
      <c r="C34" s="96"/>
      <c r="D34" s="96"/>
      <c r="E34" s="96"/>
      <c r="F34" s="97"/>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r16uMz2CBk84vz11yqbrEJ9eOR0FeN4PvMHmov5pv4pdY5Dong3dlkT4uAXs/q/AgzOOsj4AgyThVW7RvcKOUg==" saltValue="l2qAXfG/Az4TaZTvoou5Sw==" spinCount="100000" sheet="1" objects="1" scenarios="1"/>
  <mergeCells count="16">
    <mergeCell ref="B34:F34"/>
    <mergeCell ref="B15:D15"/>
    <mergeCell ref="B3:F4"/>
    <mergeCell ref="B8:F8"/>
    <mergeCell ref="B9:D9"/>
    <mergeCell ref="B32:D32"/>
    <mergeCell ref="B33:D33"/>
    <mergeCell ref="B11:F11"/>
    <mergeCell ref="B13:F13"/>
    <mergeCell ref="B14:D14"/>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2FFF4-87FB-4409-9D42-382818E9EE33}">
  <sheetPr codeName="Ark16"/>
  <dimension ref="A1:F55"/>
  <sheetViews>
    <sheetView showGridLines="0" view="pageLayout" zoomScaleNormal="100" workbookViewId="0"/>
  </sheetViews>
  <sheetFormatPr defaultColWidth="9.140625" defaultRowHeight="15" x14ac:dyDescent="0.25"/>
  <cols>
    <col min="1" max="1" width="8.140625" style="2" customWidth="1"/>
    <col min="2" max="2" width="58.28515625" style="2" customWidth="1"/>
    <col min="3" max="3" width="3.28515625" style="2" customWidth="1"/>
    <col min="4" max="4" width="7.85546875" style="2" customWidth="1"/>
    <col min="5"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8" t="s">
        <v>141</v>
      </c>
      <c r="C3" s="88"/>
      <c r="D3" s="88"/>
      <c r="E3" s="88"/>
      <c r="F3" s="1"/>
    </row>
    <row r="4" spans="1:6" ht="15" customHeight="1" x14ac:dyDescent="0.25">
      <c r="A4" s="1"/>
      <c r="B4" s="88"/>
      <c r="C4" s="88"/>
      <c r="D4" s="88"/>
      <c r="E4" s="88"/>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
      <c r="C8" s="1"/>
      <c r="D8" s="1"/>
      <c r="E8" s="1"/>
      <c r="F8" s="1"/>
    </row>
    <row r="9" spans="1:6" ht="15" customHeight="1" x14ac:dyDescent="0.25">
      <c r="A9" s="1"/>
      <c r="B9" s="111" t="s">
        <v>142</v>
      </c>
      <c r="C9" s="111"/>
      <c r="D9" s="111"/>
      <c r="E9" s="111"/>
      <c r="F9" s="1"/>
    </row>
    <row r="10" spans="1:6" ht="15" customHeight="1" x14ac:dyDescent="0.25">
      <c r="A10" s="1"/>
      <c r="B10" s="113" t="s">
        <v>143</v>
      </c>
      <c r="C10" s="113"/>
      <c r="D10" s="7">
        <v>0</v>
      </c>
      <c r="E10" s="45" t="s">
        <v>3</v>
      </c>
      <c r="F10" s="1"/>
    </row>
    <row r="11" spans="1:6" x14ac:dyDescent="0.25">
      <c r="A11" s="1"/>
      <c r="B11" s="112" t="s">
        <v>144</v>
      </c>
      <c r="C11" s="112"/>
      <c r="D11" s="7">
        <v>0</v>
      </c>
      <c r="E11" s="45" t="s">
        <v>3</v>
      </c>
      <c r="F11" s="1"/>
    </row>
    <row r="12" spans="1:6" x14ac:dyDescent="0.25">
      <c r="A12" s="1"/>
      <c r="B12" s="104" t="s">
        <v>145</v>
      </c>
      <c r="C12" s="104"/>
      <c r="D12" s="9">
        <f>D11-D10</f>
        <v>0</v>
      </c>
      <c r="E12" s="47" t="s">
        <v>3</v>
      </c>
      <c r="F12" s="1"/>
    </row>
    <row r="13" spans="1:6" x14ac:dyDescent="0.25">
      <c r="A13" s="1"/>
      <c r="B13" s="111" t="s">
        <v>146</v>
      </c>
      <c r="C13" s="111"/>
      <c r="D13" s="111"/>
      <c r="E13" s="111"/>
      <c r="F13" s="1"/>
    </row>
    <row r="14" spans="1:6" x14ac:dyDescent="0.25">
      <c r="A14" s="1"/>
      <c r="B14" s="112" t="s">
        <v>147</v>
      </c>
      <c r="C14" s="112"/>
      <c r="D14" s="7"/>
      <c r="E14" s="45" t="s">
        <v>3</v>
      </c>
      <c r="F14" s="1"/>
    </row>
    <row r="15" spans="1:6" x14ac:dyDescent="0.25">
      <c r="A15" s="1"/>
      <c r="B15" s="112" t="s">
        <v>148</v>
      </c>
      <c r="C15" s="112"/>
      <c r="D15" s="7"/>
      <c r="E15" s="45" t="s">
        <v>3</v>
      </c>
      <c r="F15" s="1"/>
    </row>
    <row r="16" spans="1:6" x14ac:dyDescent="0.25">
      <c r="A16" s="1"/>
      <c r="B16" s="104" t="s">
        <v>145</v>
      </c>
      <c r="C16" s="104"/>
      <c r="D16" s="9">
        <f>D15-D14</f>
        <v>0</v>
      </c>
      <c r="E16" s="47" t="s">
        <v>3</v>
      </c>
      <c r="F16" s="1"/>
    </row>
    <row r="17" spans="1:6" x14ac:dyDescent="0.25">
      <c r="A17" s="1"/>
      <c r="B17" s="46" t="s">
        <v>149</v>
      </c>
      <c r="C17" s="46"/>
      <c r="D17" s="10">
        <f>D12+D16</f>
        <v>0</v>
      </c>
      <c r="E17" s="11" t="s">
        <v>3</v>
      </c>
      <c r="F17" s="1"/>
    </row>
    <row r="18" spans="1:6" x14ac:dyDescent="0.25">
      <c r="A18" s="1"/>
      <c r="B18" s="1"/>
      <c r="C18" s="1"/>
      <c r="D18" s="1"/>
      <c r="E18" s="1"/>
      <c r="F18" s="1"/>
    </row>
    <row r="19" spans="1:6" x14ac:dyDescent="0.25">
      <c r="A19" s="1"/>
      <c r="B19" s="1"/>
      <c r="C19" s="1"/>
      <c r="D19" s="1"/>
      <c r="E19" s="1"/>
      <c r="F19" s="1"/>
    </row>
    <row r="20" spans="1:6" x14ac:dyDescent="0.25">
      <c r="A20" s="1"/>
      <c r="B20" s="14"/>
      <c r="C20" s="13"/>
      <c r="D20" s="1"/>
      <c r="E20" s="1"/>
      <c r="F20" s="1"/>
    </row>
    <row r="21" spans="1:6" x14ac:dyDescent="0.25">
      <c r="A21" s="1"/>
      <c r="B21" s="14"/>
      <c r="C21" s="13"/>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FxC3YaKjyzaRfL2GzC3IR+0/lDdcbyGBUYIWavUdAiKRj6Z1QrWDzjJNtia4yhC8F0tLCVzUQVFvsHYVsBFKqA==" saltValue="HoORx93sUCzrvbT55Y43xQ==" spinCount="100000" sheet="1" objects="1" scenarios="1"/>
  <mergeCells count="9">
    <mergeCell ref="B13:E13"/>
    <mergeCell ref="B14:C14"/>
    <mergeCell ref="B15:C15"/>
    <mergeCell ref="B16:C16"/>
    <mergeCell ref="B3:E4"/>
    <mergeCell ref="B9:E9"/>
    <mergeCell ref="B10:C10"/>
    <mergeCell ref="B11:C11"/>
    <mergeCell ref="B12:C12"/>
  </mergeCells>
  <pageMargins left="0.75"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Navngivne områder</vt:lpstr>
      </vt:variant>
      <vt:variant>
        <vt:i4>9</vt:i4>
      </vt:variant>
    </vt:vector>
  </HeadingPairs>
  <TitlesOfParts>
    <vt:vector size="26"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Korrektion af ØR22</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lpstr>Tabel_Fane_7</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2023-08-16T14:42:13Z</dcterms:modified>
</cp:coreProperties>
</file>