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Vejen Renseanlæg (S10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s="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l="1"/>
  <c r="G43" i="36" s="1"/>
  <c r="G53" i="36" s="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<sst xmlns="http://schemas.openxmlformats.org/spreadsheetml/2006/main" count="613" uniqueCount="292">
  <si>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</si>
  <si>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</si>
  <si>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</si>
  <si>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</si>
  <si>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</si>
  <si>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</si>
  <si>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</si>
  <si>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</si>
  <si>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</si>
  <si>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</si>
  <si>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</si>
  <si>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</si>
  <si>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</si>
  <si>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</si>
  <si>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</si>
  <si>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</si>
  <si>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</si>
  <si>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</si>
  <si>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</si>
  <si>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</si>
  <si>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</si>
  <si>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</si>
  <si>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</si>
  <si>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</si>
  <si>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</si>
  <si>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</si>
  <si>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</si>
  <si>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</si>
  <si>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</si>
  <si>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</si>
  <si>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</si>
  <si>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</si>
  <si>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</si>
  <si>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</si>
  <si>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</si>
  <si>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</si>
  <si>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</si>
  <si>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</si>
  <si>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</si>
  <si>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</si>
  <si>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</si>
  <si>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</si>
  <si>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</si>
  <si>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</si>
  <si>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</si>
  <si>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</si>
  <si>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</si>
  <si>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</si>
  <si>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</si>
  <si>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</si>
  <si>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</si>
  <si>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</si>
  <si>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</si>
  <si>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</si>
  <si>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</si>
  <si>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</si>
  <si>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</si>
  <si>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</si>
  <si>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</si>
  <si>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</si>
  <si>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</si>
  <si>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</si>
  <si>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</si>
  <si>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</si>
  <si>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</si>
  <si>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</si>
  <si>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</si>
  <si>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</si>
  <si>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</si>
  <si>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</si>
  <si>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</si>
  <si>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</si>
  <si>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</si>
  <si>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</si>
  <si>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</si>
  <si>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</si>
  <si>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</si>
  <si>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</si>
  <si>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</si>
  <si>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</si>
  <si>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</si>
  <si>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</si>
  <si>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</si>
  <si>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</si>
  <si>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</si>
  <si>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</si>
  <si>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</si>
  <si>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</si>
  <si>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</si>
  <si>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</si>
  <si>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</si>
  <si>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</si>
  <si>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</si>
  <si>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</si>
  <si>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</si>
  <si>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</si>
  <si>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</si>
  <si>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</si>
  <si>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</si>
  <si>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</si>
  <si>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</si>
  <si>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</si>
  <si>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</si>
  <si>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</si>
  <si>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</si>
  <si>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</si>
  <si>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</si>
  <si>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</si>
  <si>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</si>
  <si>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</si>
  <si>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</si>
  <si>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</si>
  <si>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</si>
  <si>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</si>
  <si>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</si>
  <si>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</si>
  <si>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</si>
  <si>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</si>
  <si>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</si>
  <si>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</si>
  <si>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</si>
  <si>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</si>
  <si>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</si>
  <si>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</si>
  <si>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</si>
  <si>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</si>
  <si>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</si>
  <si>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</si>
  <si>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</si>
  <si>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</si>
  <si>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</si>
  <si>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</si>
  <si>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</si>
  <si>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</si>
  <si>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</si>
  <si>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</si>
  <si>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</si>
  <si>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</si>
  <si>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</si>
  <si>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</si>
  <si>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</si>
  <si>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</si>
  <si>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</si>
  <si>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</si>
  <si>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</si>
  <si>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</si>
  <si>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</si>
  <si>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</si>
  <si>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</si>
  <si>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</si>
  <si>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</si>
  <si>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</si>
  <si>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</si>
  <si>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</si>
  <si>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</si>
  <si>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</si>
  <si>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</si>
  <si>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</si>
  <si>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</si>
  <si>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</si>
  <si>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</si>
  <si>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</si>
  <si>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</si>
  <si>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</si>
  <si>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</si>
  <si>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</si>
  <si>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</si>
  <si>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</si>
  <si>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</si>
  <si>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</si>
  <si>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</si>
  <si>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</si>
  <si>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</si>
  <si>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</si>
  <si>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</si>
  <si>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</si>
  <si>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</si>
  <si>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</si>
  <si>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</si>
  <si>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</si>
  <si>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</si>
  <si>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</si>
  <si>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</si>
  <si>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</si>
  <si>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</si>
  <si>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</si>
  <si>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</si>
  <si>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</si>
  <si>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</si>
  <si>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</si>
  <si>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</si>
  <si>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</si>
  <si>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</si>
  <si>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</si>
  <si>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</si>
  <si>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</si>
  <si>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</si>
  <si>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</si>
  <si>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</si>
  <si>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</si>
  <si>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</si>
  <si>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</si>
  <si>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</si>
  <si>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</si>
  <si>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</si>
  <si>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</si>
  <si>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</si>
  <si>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</si>
  <si>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</si>
  <si>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</si>
  <si>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</si>
  <si>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</si>
  <si>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</si>
  <si>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</si>
  <si>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</si>
  <si>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</si>
  <si>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</si>
  <si>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</si>
  <si>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</si>
  <si>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</si>
  <si>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</si>
  <si>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</si>
  <si>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</si>
  <si>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</si>
  <si>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</si>
  <si>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</si>
  <si>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</si>
  <si>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</si>
  <si>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</si>
  <si>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</si>
  <si>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</si>
  <si>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</si>
  <si>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</si>
  <si>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</si>
  <si>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</si>
  <si>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</si>
  <si>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</si>
  <si>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</si>
  <si>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</si>
  <si>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</si>
  <si>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</si>
  <si>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</si>
  <si>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</si>
  <si>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</si>
  <si>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</si>
  <si>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</si>
  <si>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</si>
  <si>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</si>
  <si>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</si>
  <si>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</si>
  <si>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</si>
  <si>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</si>
  <si>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</si>
  <si>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</si>
  <si>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</si>
  <si>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</si>
  <si>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</si>
  <si>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</si>
  <si>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</si>
  <si>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</si>
  <si>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</si>
  <si>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</si>
  <si>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</si>
  <si>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</si>
  <si>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</si>
  <si>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</si>
  <si>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</si>
  <si>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</si>
  <si>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</si>
  <si>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Ingen anlægsprojekter</t>
  </si>
  <si>
    <t>Resultat af kontrol med overholdelse af den økonomiske ramme for 2021</t>
  </si>
  <si>
    <t>Ingen tilknyttet virksomhed under hovedvirksomheden</t>
  </si>
  <si>
    <t>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</si>
  <si>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</si>
  <si>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</si>
  <si>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</si>
  <si>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</si>
  <si>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</si>
  <si>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</si>
  <si>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</si>
  <si>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</si>
  <si>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Håndtering af slam og energieffektivisering</t>
  </si>
  <si>
    <t>Håndtering af slam</t>
  </si>
  <si>
    <t>Indregnet fradrag i økonomisk ramme for 2022</t>
  </si>
  <si>
    <t>Indregnet fradrag i økonomisk ramme for 2023</t>
  </si>
  <si>
    <t>Korrektion af fradrag i den økonomiske ramme for 2023</t>
  </si>
  <si>
    <t>Tillæg/fradrag i den økonnomiske ramme for 2023</t>
  </si>
  <si>
    <t>Force majeure</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</si>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</sst>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4" t="s">
        <v>4</v>
      </c>
      <c r="E6" s="114"/>
      <c r="F6" s="114"/>
      <c r="G6" s="114"/>
      <c r="H6" s="3"/>
      <c r="I6" s="1"/>
    </row>
    <row r="7" spans="1:9" ht="15" customHeight="1" x14ac:dyDescent="0.25">
      <c r="A7" s="1"/>
      <c r="B7" s="1"/>
      <c r="C7" s="3"/>
      <c r="D7" s="114"/>
      <c r="E7" s="114"/>
      <c r="F7" s="114"/>
      <c r="G7" s="114"/>
      <c r="H7" s="3"/>
      <c r="I7" s="1"/>
    </row>
    <row r="8" spans="1:9" ht="15.75" x14ac:dyDescent="0.25">
      <c r="A8" s="1"/>
      <c r="B8" s="1"/>
      <c r="C8" s="4"/>
      <c r="D8" s="119" t="s">
        <v>225</v>
      </c>
      <c r="E8" s="119"/>
      <c r="F8" s="119"/>
      <c r="G8" s="11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8" t="s">
        <v>5</v>
      </c>
      <c r="E11" s="118"/>
      <c r="F11" s="118"/>
      <c r="G11" s="118"/>
      <c r="H11" s="5"/>
      <c r="I11" s="1"/>
    </row>
    <row r="12" spans="1:9" x14ac:dyDescent="0.25">
      <c r="A12" s="1"/>
      <c r="B12" s="1"/>
      <c r="C12" s="1"/>
      <c r="D12" s="1"/>
      <c r="E12" s="1"/>
      <c r="F12" s="1"/>
      <c r="G12" s="1"/>
      <c r="H12" s="5"/>
      <c r="I12" s="1"/>
    </row>
    <row r="13" spans="1:9" x14ac:dyDescent="0.25">
      <c r="A13" s="1"/>
      <c r="B13" s="1"/>
      <c r="C13" s="6" t="s">
        <v>6</v>
      </c>
      <c r="D13" s="120" t="s">
        <v>169</v>
      </c>
      <c r="E13" s="121"/>
      <c r="F13" s="121"/>
      <c r="G13" s="122"/>
      <c r="H13" s="5"/>
      <c r="I13" s="1"/>
    </row>
    <row r="14" spans="1:9" x14ac:dyDescent="0.25">
      <c r="A14" s="1"/>
      <c r="B14" s="1"/>
      <c r="C14" s="6" t="s">
        <v>16</v>
      </c>
      <c r="D14" s="111" t="s">
        <v>235</v>
      </c>
      <c r="E14" s="112"/>
      <c r="F14" s="112"/>
      <c r="G14" s="113"/>
      <c r="H14" s="5"/>
      <c r="I14" s="1"/>
    </row>
    <row r="15" spans="1:9" x14ac:dyDescent="0.25">
      <c r="A15" s="1"/>
      <c r="B15" s="1"/>
      <c r="C15" s="6" t="s">
        <v>34</v>
      </c>
      <c r="D15" s="111" t="s">
        <v>170</v>
      </c>
      <c r="E15" s="112"/>
      <c r="F15" s="112"/>
      <c r="G15" s="113"/>
      <c r="H15" s="5"/>
      <c r="I15" s="1"/>
    </row>
    <row r="16" spans="1:9" x14ac:dyDescent="0.25">
      <c r="A16" s="1"/>
      <c r="B16" s="1"/>
      <c r="C16" s="6" t="s">
        <v>35</v>
      </c>
      <c r="D16" s="111" t="s">
        <v>182</v>
      </c>
      <c r="E16" s="112"/>
      <c r="F16" s="112"/>
      <c r="G16" s="113"/>
      <c r="H16" s="5"/>
      <c r="I16" s="1"/>
    </row>
    <row r="17" spans="1:9" x14ac:dyDescent="0.25">
      <c r="A17" s="1"/>
      <c r="B17" s="1"/>
      <c r="C17" s="6" t="s">
        <v>119</v>
      </c>
      <c r="D17" s="111" t="s">
        <v>183</v>
      </c>
      <c r="E17" s="112"/>
      <c r="F17" s="112"/>
      <c r="G17" s="113"/>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15" t="s">
        <v>12</v>
      </c>
      <c r="E21" s="116"/>
      <c r="F21" s="116"/>
      <c r="G21" s="117"/>
      <c r="H21" s="5"/>
      <c r="I21" s="1"/>
    </row>
    <row r="22" spans="1:9" x14ac:dyDescent="0.25">
      <c r="A22" s="1"/>
      <c r="B22" s="1"/>
      <c r="C22" s="6" t="s">
        <v>83</v>
      </c>
      <c r="D22" s="102" t="s">
        <v>184</v>
      </c>
      <c r="E22" s="103"/>
      <c r="F22" s="103"/>
      <c r="G22" s="104"/>
      <c r="H22" s="5"/>
      <c r="I22" s="1"/>
    </row>
    <row r="23" spans="1:9" x14ac:dyDescent="0.25">
      <c r="A23" s="1"/>
      <c r="B23" s="1"/>
      <c r="C23" s="6" t="s">
        <v>8</v>
      </c>
      <c r="D23" s="102" t="s">
        <v>253</v>
      </c>
      <c r="E23" s="103"/>
      <c r="F23" s="103"/>
      <c r="G23" s="104"/>
      <c r="H23" s="5"/>
      <c r="I23" s="1"/>
    </row>
    <row r="24" spans="1:9" x14ac:dyDescent="0.25">
      <c r="A24" s="1"/>
      <c r="B24" s="1"/>
      <c r="C24" s="6" t="s">
        <v>9</v>
      </c>
      <c r="D24" s="102" t="s">
        <v>185</v>
      </c>
      <c r="E24" s="103"/>
      <c r="F24" s="103"/>
      <c r="G24" s="104"/>
      <c r="H24" s="5"/>
      <c r="I24" s="1"/>
    </row>
    <row r="25" spans="1:9" x14ac:dyDescent="0.25">
      <c r="A25" s="1"/>
      <c r="B25" s="1"/>
      <c r="C25" s="6" t="s">
        <v>246</v>
      </c>
      <c r="D25" s="102" t="s">
        <v>237</v>
      </c>
      <c r="E25" s="103"/>
      <c r="F25" s="103"/>
      <c r="G25" s="104"/>
      <c r="H25" s="1"/>
      <c r="I25" s="1"/>
    </row>
    <row r="26" spans="1:9" x14ac:dyDescent="0.25">
      <c r="A26" s="1"/>
      <c r="B26" s="1"/>
      <c r="C26" s="6" t="s">
        <v>247</v>
      </c>
      <c r="D26" s="102" t="s">
        <v>84</v>
      </c>
      <c r="E26" s="103"/>
      <c r="F26" s="103"/>
      <c r="G26" s="104"/>
      <c r="H26" s="1"/>
      <c r="I26" s="1"/>
    </row>
    <row r="27" spans="1:9" x14ac:dyDescent="0.25">
      <c r="A27" s="1"/>
      <c r="B27" s="1"/>
      <c r="C27" s="6" t="s">
        <v>248</v>
      </c>
      <c r="D27" s="102" t="s">
        <v>85</v>
      </c>
      <c r="E27" s="103"/>
      <c r="F27" s="103"/>
      <c r="G27" s="104"/>
      <c r="H27" s="1"/>
      <c r="I27" s="1"/>
    </row>
    <row r="28" spans="1:9" x14ac:dyDescent="0.25">
      <c r="A28" s="1"/>
      <c r="B28" s="1"/>
      <c r="C28" s="6" t="s">
        <v>15</v>
      </c>
      <c r="D28" s="102" t="s">
        <v>86</v>
      </c>
      <c r="E28" s="103"/>
      <c r="F28" s="103"/>
      <c r="G28" s="104"/>
      <c r="H28" s="1"/>
      <c r="I28" s="1"/>
    </row>
    <row r="29" spans="1:9" x14ac:dyDescent="0.25">
      <c r="A29" s="1"/>
      <c r="B29" s="1"/>
      <c r="C29" s="6" t="s">
        <v>37</v>
      </c>
      <c r="D29" s="102" t="s">
        <v>134</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249</v>
      </c>
      <c r="D31" s="105" t="s">
        <v>105</v>
      </c>
      <c r="E31" s="106"/>
      <c r="F31" s="106"/>
      <c r="G31" s="10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JDPVrt948pBGse9NWvX4QlcGme8zA5wtypGQRf7RS6vd92c7AwLZSv6i2XpNA3f6ctm7lXjFRH5PvhkoDr18/A==" saltValue="fIb2Owkm2Fx4xG/zwSH5o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5" t="s">
        <v>199</v>
      </c>
      <c r="C8" s="136"/>
      <c r="D8" s="137"/>
      <c r="E8" s="1"/>
      <c r="F8" s="1"/>
    </row>
    <row r="9" spans="1:6" ht="15" customHeight="1" x14ac:dyDescent="0.25">
      <c r="A9" s="1"/>
      <c r="B9" s="26" t="s">
        <v>32</v>
      </c>
      <c r="C9" s="58" t="s">
        <v>240</v>
      </c>
      <c r="D9" s="11"/>
      <c r="E9" s="1"/>
      <c r="F9" s="1"/>
    </row>
    <row r="10" spans="1:6" x14ac:dyDescent="0.25">
      <c r="A10" s="1"/>
      <c r="B10" s="94" t="s">
        <v>265</v>
      </c>
      <c r="C10" s="9">
        <v>1778031</v>
      </c>
      <c r="D10" s="14" t="s">
        <v>3</v>
      </c>
      <c r="E10" s="1"/>
      <c r="F10" s="1"/>
    </row>
    <row r="11" spans="1:6" x14ac:dyDescent="0.25">
      <c r="A11" s="1"/>
      <c r="B11" s="94" t="s">
        <v>266</v>
      </c>
      <c r="C11" s="9">
        <v>109077</v>
      </c>
      <c r="D11" s="14" t="s">
        <v>3</v>
      </c>
      <c r="E11" s="1"/>
      <c r="F11" s="1"/>
    </row>
    <row r="12" spans="1:6" x14ac:dyDescent="0.25">
      <c r="A12" s="1"/>
      <c r="B12" s="94" t="s">
        <v>267</v>
      </c>
      <c r="C12" s="9">
        <v>173672</v>
      </c>
      <c r="D12" s="14" t="s">
        <v>3</v>
      </c>
      <c r="E12" s="1"/>
      <c r="F12" s="1"/>
    </row>
    <row r="13" spans="1:6" x14ac:dyDescent="0.25">
      <c r="A13" s="1"/>
      <c r="B13" s="94" t="s">
        <v>268</v>
      </c>
      <c r="C13" s="9">
        <v>97315</v>
      </c>
      <c r="D13" s="14" t="s">
        <v>3</v>
      </c>
      <c r="E13" s="1"/>
      <c r="F13" s="1"/>
    </row>
    <row r="14" spans="1:6" x14ac:dyDescent="0.25">
      <c r="A14" s="1"/>
      <c r="B14" s="94" t="s">
        <v>287</v>
      </c>
      <c r="C14" s="9">
        <v>117300</v>
      </c>
      <c r="D14" s="14" t="s">
        <v>3</v>
      </c>
      <c r="E14" s="1"/>
      <c r="F14" s="1"/>
    </row>
    <row r="15" spans="1:6" x14ac:dyDescent="0.25">
      <c r="A15" s="1"/>
      <c r="B15" s="32" t="s">
        <v>200</v>
      </c>
      <c r="C15" s="12">
        <f>SUM(C10:C14)</f>
        <v>2275395</v>
      </c>
      <c r="D15" s="13" t="s">
        <v>3</v>
      </c>
      <c r="E15" s="1"/>
      <c r="F15" s="1"/>
    </row>
    <row r="16" spans="1:6" x14ac:dyDescent="0.25">
      <c r="A16" s="1"/>
      <c r="B16" s="32" t="s">
        <v>201</v>
      </c>
      <c r="C16" s="12">
        <f>C15*(1+'Fane 15. Nøgletal'!C15)^2</f>
        <v>2440286.8686072002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5" t="s">
        <v>117</v>
      </c>
      <c r="C19" s="136"/>
      <c r="D19" s="137"/>
      <c r="E19" s="1"/>
      <c r="F19" s="1"/>
    </row>
    <row r="20" spans="1:6" x14ac:dyDescent="0.25">
      <c r="A20" s="1"/>
      <c r="B20" s="94" t="s">
        <v>99</v>
      </c>
      <c r="C20" s="9">
        <v>0</v>
      </c>
      <c r="D20" s="14" t="s">
        <v>3</v>
      </c>
      <c r="E20" s="1"/>
      <c r="F20" s="1"/>
    </row>
    <row r="21" spans="1:6" x14ac:dyDescent="0.25">
      <c r="A21" s="1"/>
      <c r="B21" s="94" t="s">
        <v>129</v>
      </c>
      <c r="C21" s="9">
        <v>0</v>
      </c>
      <c r="D21" s="14" t="s">
        <v>3</v>
      </c>
      <c r="E21" s="1"/>
      <c r="F21" s="1"/>
    </row>
    <row r="22" spans="1:6" x14ac:dyDescent="0.25">
      <c r="A22" s="1"/>
      <c r="B22" s="94" t="s">
        <v>155</v>
      </c>
      <c r="C22" s="9">
        <v>0</v>
      </c>
      <c r="D22" s="14" t="s">
        <v>3</v>
      </c>
      <c r="E22" s="1"/>
      <c r="F22" s="1"/>
    </row>
    <row r="23" spans="1:6" x14ac:dyDescent="0.25">
      <c r="A23" s="1"/>
      <c r="B23" s="33" t="s">
        <v>202</v>
      </c>
      <c r="C23" s="9">
        <v>0</v>
      </c>
      <c r="D23" s="40" t="s">
        <v>3</v>
      </c>
      <c r="E23" s="1"/>
      <c r="F23" s="1"/>
    </row>
    <row r="24" spans="1:6" x14ac:dyDescent="0.25">
      <c r="A24" s="1"/>
      <c r="B24" s="135"/>
      <c r="C24" s="136"/>
      <c r="D24" s="137"/>
      <c r="E24" s="1"/>
      <c r="F24" s="1"/>
    </row>
    <row r="25" spans="1:6" x14ac:dyDescent="0.25">
      <c r="A25" s="1"/>
      <c r="B25" s="1"/>
      <c r="C25" s="1"/>
      <c r="D25" s="1"/>
      <c r="E25" s="1"/>
      <c r="F25" s="1"/>
    </row>
    <row r="26" spans="1:6" x14ac:dyDescent="0.25">
      <c r="A26" s="1"/>
      <c r="B26" s="1"/>
      <c r="C26" s="1"/>
      <c r="D26" s="1"/>
      <c r="E26" s="1"/>
      <c r="F26" s="1"/>
    </row>
    <row r="27" spans="1:6" x14ac:dyDescent="0.25">
      <c r="A27" s="1"/>
      <c r="B27" s="135" t="s">
        <v>98</v>
      </c>
      <c r="C27" s="136"/>
      <c r="D27" s="137"/>
      <c r="E27" s="1"/>
      <c r="F27" s="1"/>
    </row>
    <row r="28" spans="1:6" x14ac:dyDescent="0.25">
      <c r="A28" s="1"/>
      <c r="B28" s="94" t="s">
        <v>99</v>
      </c>
      <c r="C28" s="9">
        <v>0</v>
      </c>
      <c r="D28" s="14" t="s">
        <v>3</v>
      </c>
      <c r="E28" s="1"/>
      <c r="F28" s="1"/>
    </row>
    <row r="29" spans="1:6" x14ac:dyDescent="0.25">
      <c r="A29" s="1"/>
      <c r="B29" s="94" t="s">
        <v>129</v>
      </c>
      <c r="C29" s="9">
        <v>0</v>
      </c>
      <c r="D29" s="14" t="s">
        <v>3</v>
      </c>
      <c r="E29" s="1"/>
      <c r="F29" s="1"/>
    </row>
    <row r="30" spans="1:6" x14ac:dyDescent="0.25">
      <c r="A30" s="1"/>
      <c r="B30" s="94" t="s">
        <v>155</v>
      </c>
      <c r="C30" s="9">
        <v>0</v>
      </c>
      <c r="D30" s="14" t="s">
        <v>3</v>
      </c>
      <c r="E30" s="1"/>
      <c r="F30" s="1"/>
    </row>
    <row r="31" spans="1:6" x14ac:dyDescent="0.25">
      <c r="A31" s="1"/>
      <c r="B31" s="33" t="s">
        <v>202</v>
      </c>
      <c r="C31" s="9">
        <v>0</v>
      </c>
      <c r="D31" s="40" t="s">
        <v>3</v>
      </c>
      <c r="E31" s="1"/>
      <c r="F31" s="1"/>
    </row>
    <row r="32" spans="1:6" x14ac:dyDescent="0.25">
      <c r="A32" s="1"/>
      <c r="B32" s="135"/>
      <c r="C32" s="136"/>
      <c r="D32" s="137"/>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bRqk60fIWznTeIYxGblsIi0I6KXc5or3tPcCWX/IxwuuXjjT1RMfab8KgGydEslkpVxKsnSkgx0IBtAP1LypjA==" saltValue="dVulGMFcI8O81HL0iWO5p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203</v>
      </c>
      <c r="C3" s="128"/>
      <c r="D3" s="128"/>
      <c r="E3" s="128"/>
      <c r="F3" s="128"/>
      <c r="G3" s="1"/>
    </row>
    <row r="4" spans="1:7" ht="15" customHeight="1" x14ac:dyDescent="0.25">
      <c r="A4" s="1"/>
      <c r="B4" s="128"/>
      <c r="C4" s="128"/>
      <c r="D4" s="128"/>
      <c r="E4" s="128"/>
      <c r="F4" s="128"/>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5" t="s">
        <v>178</v>
      </c>
      <c r="C8" s="136"/>
      <c r="D8" s="136"/>
      <c r="E8" s="136"/>
      <c r="F8" s="137"/>
      <c r="G8" s="1"/>
    </row>
    <row r="9" spans="1:7" x14ac:dyDescent="0.25">
      <c r="A9" s="1"/>
      <c r="B9" s="140" t="s">
        <v>204</v>
      </c>
      <c r="C9" s="141"/>
      <c r="D9" s="142"/>
      <c r="E9" s="9">
        <v>-185082.34095323086</v>
      </c>
      <c r="F9" s="14" t="s">
        <v>3</v>
      </c>
      <c r="G9" s="1"/>
    </row>
    <row r="10" spans="1:7" x14ac:dyDescent="0.25">
      <c r="A10" s="1"/>
      <c r="B10" s="140" t="s">
        <v>263</v>
      </c>
      <c r="C10" s="141"/>
      <c r="D10" s="142"/>
      <c r="E10" s="9">
        <v>0</v>
      </c>
      <c r="F10" s="14" t="s">
        <v>3</v>
      </c>
      <c r="G10" s="1"/>
    </row>
    <row r="11" spans="1:7" x14ac:dyDescent="0.25">
      <c r="A11" s="1"/>
      <c r="B11" s="32"/>
      <c r="C11" s="27"/>
      <c r="D11" s="27"/>
      <c r="E11" s="27"/>
      <c r="F11" s="19"/>
      <c r="G11" s="1"/>
    </row>
    <row r="12" spans="1:7" ht="81" customHeight="1" x14ac:dyDescent="0.25">
      <c r="A12" s="1"/>
      <c r="B12" s="125" t="s">
        <v>289</v>
      </c>
      <c r="C12" s="126"/>
      <c r="D12" s="126"/>
      <c r="E12" s="126"/>
      <c r="F12" s="127"/>
      <c r="G12" s="1"/>
    </row>
    <row r="13" spans="1:7" ht="27" customHeight="1" x14ac:dyDescent="0.25">
      <c r="A13" s="1"/>
      <c r="B13" s="1"/>
      <c r="C13" s="1"/>
      <c r="D13" s="1"/>
      <c r="E13" s="1"/>
      <c r="F13" s="1"/>
      <c r="G13" s="1"/>
    </row>
    <row r="14" spans="1:7" ht="28.5" customHeight="1" x14ac:dyDescent="0.25">
      <c r="A14" s="1"/>
      <c r="B14" s="135" t="s">
        <v>179</v>
      </c>
      <c r="C14" s="136"/>
      <c r="D14" s="136"/>
      <c r="E14" s="136"/>
      <c r="F14" s="137"/>
      <c r="G14" s="1"/>
    </row>
    <row r="15" spans="1:7" x14ac:dyDescent="0.25">
      <c r="A15" s="1"/>
      <c r="B15" s="140" t="s">
        <v>283</v>
      </c>
      <c r="C15" s="141"/>
      <c r="D15" s="142"/>
      <c r="E15" s="9">
        <v>0</v>
      </c>
      <c r="F15" s="14" t="s">
        <v>3</v>
      </c>
      <c r="G15" s="1"/>
    </row>
    <row r="16" spans="1:7" x14ac:dyDescent="0.25">
      <c r="A16" s="1"/>
      <c r="B16" s="140" t="s">
        <v>284</v>
      </c>
      <c r="C16" s="141"/>
      <c r="D16" s="142"/>
      <c r="E16" s="9">
        <v>0</v>
      </c>
      <c r="F16" s="14" t="s">
        <v>3</v>
      </c>
      <c r="G16" s="1"/>
    </row>
    <row r="17" spans="1:7" x14ac:dyDescent="0.25">
      <c r="A17" s="1"/>
      <c r="B17" s="32"/>
      <c r="C17" s="27"/>
      <c r="D17" s="27"/>
      <c r="E17" s="27"/>
      <c r="F17" s="19"/>
      <c r="G17" s="1"/>
    </row>
    <row r="18" spans="1:7" ht="31.5" customHeight="1" x14ac:dyDescent="0.25">
      <c r="A18" s="1"/>
      <c r="B18" s="125" t="s">
        <v>290</v>
      </c>
      <c r="C18" s="126"/>
      <c r="D18" s="126"/>
      <c r="E18" s="126"/>
      <c r="F18" s="127"/>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20369529.400580168</v>
      </c>
      <c r="F21" s="14" t="s">
        <v>3</v>
      </c>
      <c r="G21" s="1"/>
    </row>
    <row r="22" spans="1:7" x14ac:dyDescent="0.25">
      <c r="A22" s="1"/>
      <c r="B22" s="91" t="s">
        <v>207</v>
      </c>
      <c r="C22" s="92"/>
      <c r="D22" s="93"/>
      <c r="E22" s="9">
        <v>20801061</v>
      </c>
      <c r="F22" s="14" t="s">
        <v>3</v>
      </c>
      <c r="G22" s="1"/>
    </row>
    <row r="23" spans="1:7" x14ac:dyDescent="0.25">
      <c r="A23" s="1"/>
      <c r="B23" s="91" t="s">
        <v>33</v>
      </c>
      <c r="C23" s="92"/>
      <c r="D23" s="93"/>
      <c r="E23" s="9">
        <v>0</v>
      </c>
      <c r="F23" s="14" t="s">
        <v>3</v>
      </c>
      <c r="G23" s="1"/>
    </row>
    <row r="24" spans="1:7" x14ac:dyDescent="0.25">
      <c r="A24" s="1"/>
      <c r="B24" s="89" t="s">
        <v>270</v>
      </c>
      <c r="C24" s="90"/>
      <c r="D24" s="96"/>
      <c r="E24" s="72">
        <f>E21-(E22-E23)</f>
        <v>-431531.59941983223</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5" t="s">
        <v>285</v>
      </c>
      <c r="C27" s="136"/>
      <c r="D27" s="136"/>
      <c r="E27" s="136"/>
      <c r="F27" s="137"/>
      <c r="G27" s="1"/>
    </row>
    <row r="28" spans="1:7" x14ac:dyDescent="0.25">
      <c r="A28" s="1"/>
      <c r="B28" s="138" t="s">
        <v>286</v>
      </c>
      <c r="C28" s="139"/>
      <c r="D28" s="162"/>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5"/>
      <c r="C29" s="136"/>
      <c r="D29" s="136"/>
      <c r="E29" s="136"/>
      <c r="F29" s="137"/>
      <c r="G29" s="1"/>
    </row>
    <row r="30" spans="1:7" x14ac:dyDescent="0.25">
      <c r="A30" s="1"/>
      <c r="B30" s="1"/>
      <c r="C30" s="1"/>
      <c r="D30" s="1"/>
      <c r="E30" s="1"/>
      <c r="F30" s="1"/>
      <c r="G30" s="1"/>
    </row>
    <row r="31" spans="1:7" ht="28.5" customHeight="1" x14ac:dyDescent="0.25">
      <c r="A31" s="1"/>
      <c r="B31" s="135" t="s">
        <v>264</v>
      </c>
      <c r="C31" s="136"/>
      <c r="D31" s="136"/>
      <c r="E31" s="136"/>
      <c r="F31" s="137"/>
      <c r="G31" s="1"/>
    </row>
    <row r="32" spans="1:7" x14ac:dyDescent="0.25">
      <c r="A32" s="1"/>
      <c r="B32" s="159" t="s">
        <v>143</v>
      </c>
      <c r="C32" s="160"/>
      <c r="D32" s="161"/>
      <c r="E32" s="74">
        <f>IF(AND(E9&gt;0,(E9+E24)&gt;0),0,IF(AND(E9&gt;0,(E9+E24)&lt;0),(E9+E24),IF(AND(E9&lt;0,E24&lt;0),E24,0)))</f>
        <v>-431531.59941983223</v>
      </c>
      <c r="F32" s="14" t="s">
        <v>3</v>
      </c>
      <c r="G32" s="1"/>
    </row>
    <row r="33" spans="1:7" x14ac:dyDescent="0.25">
      <c r="A33" s="1"/>
      <c r="B33" s="159" t="s">
        <v>102</v>
      </c>
      <c r="C33" s="160"/>
      <c r="D33" s="161"/>
      <c r="E33" s="9">
        <v>4</v>
      </c>
      <c r="F33" s="14" t="s">
        <v>20</v>
      </c>
      <c r="G33" s="1"/>
    </row>
    <row r="34" spans="1:7" x14ac:dyDescent="0.25">
      <c r="A34" s="1"/>
      <c r="B34" s="155" t="s">
        <v>144</v>
      </c>
      <c r="C34" s="155"/>
      <c r="D34" s="155"/>
      <c r="E34" s="73">
        <f>E32/E33</f>
        <v>-107882.89985495806</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DtqH1ugsD7CslcEGfFdenIAI8rfLZ0ioZV0h/aAbQCZV9vmZe4NjXSwoFE/xpf7FrdCPFGzQHe/gAZF+xtYJbg==" saltValue="Kj5iREegk8l6VVlnws/grQ==" spinCount="100000" sheet="1" objects="1" scenarios="1"/>
  <mergeCells count="17">
    <mergeCell ref="B3:F4"/>
    <mergeCell ref="B8:F8"/>
    <mergeCell ref="B9:D9"/>
    <mergeCell ref="B10:D10"/>
    <mergeCell ref="B14:F14"/>
    <mergeCell ref="B12:F12"/>
    <mergeCell ref="B34:D34"/>
    <mergeCell ref="B35:F35"/>
    <mergeCell ref="B15:D15"/>
    <mergeCell ref="B16:D16"/>
    <mergeCell ref="B32:D32"/>
    <mergeCell ref="B29:F29"/>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5" t="s">
        <v>262</v>
      </c>
      <c r="C8" s="136"/>
      <c r="D8" s="136"/>
      <c r="E8" s="136"/>
      <c r="F8" s="136"/>
      <c r="G8" s="136"/>
      <c r="H8" s="137"/>
      <c r="I8" s="1"/>
    </row>
    <row r="9" spans="1:9" ht="15" customHeight="1" x14ac:dyDescent="0.25">
      <c r="A9" s="1"/>
      <c r="B9" s="132" t="s">
        <v>251</v>
      </c>
      <c r="C9" s="133"/>
      <c r="D9" s="133"/>
      <c r="E9" s="133"/>
      <c r="F9" s="133"/>
      <c r="G9" s="133"/>
      <c r="H9" s="134"/>
      <c r="I9" s="1"/>
    </row>
    <row r="10" spans="1:9" x14ac:dyDescent="0.25">
      <c r="A10" s="1"/>
      <c r="B10" s="163" t="s">
        <v>273</v>
      </c>
      <c r="C10" s="164"/>
      <c r="D10" s="164"/>
      <c r="E10" s="164"/>
      <c r="F10" s="165"/>
      <c r="G10" s="9">
        <v>0</v>
      </c>
      <c r="H10" s="9" t="s">
        <v>3</v>
      </c>
      <c r="I10" s="1"/>
    </row>
    <row r="11" spans="1:9" x14ac:dyDescent="0.25">
      <c r="A11" s="1"/>
      <c r="B11" s="163" t="s">
        <v>274</v>
      </c>
      <c r="C11" s="164"/>
      <c r="D11" s="164"/>
      <c r="E11" s="164"/>
      <c r="F11" s="165"/>
      <c r="G11" s="9">
        <v>0</v>
      </c>
      <c r="H11" s="9" t="s">
        <v>3</v>
      </c>
      <c r="I11" s="1"/>
    </row>
    <row r="12" spans="1:9" x14ac:dyDescent="0.25">
      <c r="A12" s="1"/>
      <c r="B12" s="163" t="s">
        <v>275</v>
      </c>
      <c r="C12" s="164"/>
      <c r="D12" s="164"/>
      <c r="E12" s="164"/>
      <c r="F12" s="165"/>
      <c r="G12" s="9">
        <v>0</v>
      </c>
      <c r="H12" s="9" t="s">
        <v>3</v>
      </c>
      <c r="I12" s="1"/>
    </row>
    <row r="13" spans="1:9" x14ac:dyDescent="0.25">
      <c r="A13" s="1"/>
      <c r="B13" s="163" t="s">
        <v>276</v>
      </c>
      <c r="C13" s="164"/>
      <c r="D13" s="164"/>
      <c r="E13" s="164"/>
      <c r="F13" s="165"/>
      <c r="G13" s="9">
        <v>0</v>
      </c>
      <c r="H13" s="9" t="s">
        <v>3</v>
      </c>
      <c r="I13" s="1"/>
    </row>
    <row r="14" spans="1:9" x14ac:dyDescent="0.25">
      <c r="A14" s="1"/>
      <c r="B14" s="163" t="s">
        <v>277</v>
      </c>
      <c r="C14" s="164"/>
      <c r="D14" s="164"/>
      <c r="E14" s="164"/>
      <c r="F14" s="165"/>
      <c r="G14" s="9">
        <v>0</v>
      </c>
      <c r="H14" s="9" t="s">
        <v>3</v>
      </c>
      <c r="I14" s="1"/>
    </row>
    <row r="15" spans="1:9" x14ac:dyDescent="0.25">
      <c r="A15" s="1"/>
      <c r="B15" s="163" t="s">
        <v>278</v>
      </c>
      <c r="C15" s="164"/>
      <c r="D15" s="164"/>
      <c r="E15" s="164"/>
      <c r="F15" s="165"/>
      <c r="G15" s="9">
        <v>0</v>
      </c>
      <c r="H15" s="9" t="s">
        <v>3</v>
      </c>
      <c r="I15" s="1"/>
    </row>
    <row r="16" spans="1:9" x14ac:dyDescent="0.25">
      <c r="A16" s="1"/>
      <c r="B16" s="163" t="s">
        <v>279</v>
      </c>
      <c r="C16" s="164"/>
      <c r="D16" s="164"/>
      <c r="E16" s="164"/>
      <c r="F16" s="165"/>
      <c r="G16" s="9">
        <v>0</v>
      </c>
      <c r="H16" s="9" t="s">
        <v>3</v>
      </c>
      <c r="I16" s="1"/>
    </row>
    <row r="17" spans="1:9" x14ac:dyDescent="0.25">
      <c r="A17" s="1"/>
      <c r="B17" s="163" t="s">
        <v>280</v>
      </c>
      <c r="C17" s="164"/>
      <c r="D17" s="164"/>
      <c r="E17" s="164"/>
      <c r="F17" s="165"/>
      <c r="G17" s="9">
        <v>0</v>
      </c>
      <c r="H17" s="9" t="s">
        <v>3</v>
      </c>
      <c r="I17" s="1"/>
    </row>
    <row r="18" spans="1:9" x14ac:dyDescent="0.25">
      <c r="A18" s="1"/>
      <c r="B18" s="135" t="s">
        <v>252</v>
      </c>
      <c r="C18" s="136"/>
      <c r="D18" s="136"/>
      <c r="E18" s="136"/>
      <c r="F18" s="13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chHn94V1UIDm7jXavr1E5YNGTrYbFn8MXngbh09GOy6Z6Flx+yM8+fQqqZK8JAUAUcg34Mz0tOLvomuibLpg+w==" saltValue="rOiZxAlSPZXcUw/oQXQ7Qw=="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254</v>
      </c>
      <c r="C3" s="128"/>
      <c r="D3" s="128"/>
      <c r="E3" s="128"/>
      <c r="F3" s="128"/>
      <c r="G3" s="1"/>
    </row>
    <row r="4" spans="1:7" ht="1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208</v>
      </c>
      <c r="C9" s="136"/>
      <c r="D9" s="136"/>
      <c r="E9" s="136"/>
      <c r="F9" s="137"/>
      <c r="G9" s="1"/>
    </row>
    <row r="10" spans="1:7" x14ac:dyDescent="0.25">
      <c r="A10" s="1"/>
      <c r="B10" s="125" t="s">
        <v>100</v>
      </c>
      <c r="C10" s="126"/>
      <c r="D10" s="127"/>
      <c r="E10" s="7">
        <v>0</v>
      </c>
      <c r="F10" s="8" t="s">
        <v>3</v>
      </c>
      <c r="G10" s="1"/>
    </row>
    <row r="11" spans="1:7" x14ac:dyDescent="0.25">
      <c r="A11" s="1"/>
      <c r="B11" s="140" t="s">
        <v>209</v>
      </c>
      <c r="C11" s="141"/>
      <c r="D11" s="142"/>
      <c r="E11" s="7">
        <v>0</v>
      </c>
      <c r="F11" s="8" t="s">
        <v>3</v>
      </c>
      <c r="G11" s="1"/>
    </row>
    <row r="12" spans="1:7" x14ac:dyDescent="0.25">
      <c r="A12" s="1"/>
      <c r="B12" s="138" t="s">
        <v>101</v>
      </c>
      <c r="C12" s="139"/>
      <c r="D12" s="162"/>
      <c r="E12" s="10">
        <f>E11-E10</f>
        <v>0</v>
      </c>
      <c r="F12" s="11" t="s">
        <v>3</v>
      </c>
      <c r="G12" s="1"/>
    </row>
    <row r="13" spans="1:7" x14ac:dyDescent="0.25">
      <c r="A13" s="1"/>
      <c r="B13" s="135" t="s">
        <v>94</v>
      </c>
      <c r="C13" s="136"/>
      <c r="D13" s="136"/>
      <c r="E13" s="136"/>
      <c r="F13" s="137"/>
      <c r="G13" s="1"/>
    </row>
    <row r="14" spans="1:7" x14ac:dyDescent="0.25">
      <c r="A14" s="1"/>
      <c r="B14" s="140" t="s">
        <v>210</v>
      </c>
      <c r="C14" s="141"/>
      <c r="D14" s="142"/>
      <c r="E14" s="9">
        <v>0</v>
      </c>
      <c r="F14" s="8" t="s">
        <v>3</v>
      </c>
      <c r="G14" s="1"/>
    </row>
    <row r="15" spans="1:7" x14ac:dyDescent="0.25">
      <c r="A15" s="1"/>
      <c r="B15" s="125" t="s">
        <v>211</v>
      </c>
      <c r="C15" s="126"/>
      <c r="D15" s="127"/>
      <c r="E15" s="9">
        <v>0</v>
      </c>
      <c r="F15" s="8" t="s">
        <v>3</v>
      </c>
      <c r="G15" s="1"/>
    </row>
    <row r="16" spans="1:7" x14ac:dyDescent="0.25">
      <c r="A16" s="1"/>
      <c r="B16" s="138" t="s">
        <v>101</v>
      </c>
      <c r="C16" s="139"/>
      <c r="D16" s="162"/>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jK+3iu5XWosencTU47NKK0Q+Vp0+tzDeKelydhs09Iam6CYYRunL7zAj/5da8IjDVLVEn708fzIgWj/x0pGaA==" saltValue="t9JzRw3bGQnKDogoK9zJW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5" t="s">
        <v>219</v>
      </c>
      <c r="C8" s="136"/>
      <c r="D8" s="136"/>
      <c r="E8" s="136"/>
      <c r="F8" s="136"/>
      <c r="G8" s="136"/>
      <c r="H8" s="136"/>
      <c r="I8" s="136"/>
      <c r="J8" s="136"/>
      <c r="K8" s="137"/>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269</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SQudDZwbsWGQtNgn2u/E6AKvd3h0UOAxBXDE3n2XqyaUv8zqVNsWRjvXFj1pyY8mYMT4xFUFNY0LB50NQIePiA==" saltValue="btyTWBqpoKFMW13yLQJBC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281</v>
      </c>
      <c r="C11" s="21">
        <v>10000</v>
      </c>
      <c r="D11" s="14" t="s">
        <v>3</v>
      </c>
      <c r="E11" s="9">
        <v>274475</v>
      </c>
      <c r="F11" s="14" t="s">
        <v>3</v>
      </c>
      <c r="G11" s="1"/>
    </row>
    <row r="12" spans="1:7" x14ac:dyDescent="0.25">
      <c r="A12" s="1"/>
      <c r="B12" s="23" t="s">
        <v>272</v>
      </c>
      <c r="C12" s="21">
        <v>40841</v>
      </c>
      <c r="D12" s="14" t="s">
        <v>3</v>
      </c>
      <c r="E12" s="9">
        <v>0</v>
      </c>
      <c r="F12" s="14" t="s">
        <v>3</v>
      </c>
      <c r="G12" s="1"/>
    </row>
    <row r="13" spans="1:7" x14ac:dyDescent="0.25">
      <c r="A13" s="1"/>
      <c r="B13" s="32" t="s">
        <v>156</v>
      </c>
      <c r="C13" s="12">
        <f>SUM(C10:C12)</f>
        <v>50841</v>
      </c>
      <c r="D13" s="13" t="s">
        <v>3</v>
      </c>
      <c r="E13" s="12">
        <f>SUM(E10:E12)</f>
        <v>274475</v>
      </c>
      <c r="F13" s="13" t="s">
        <v>3</v>
      </c>
      <c r="G13" s="1"/>
    </row>
    <row r="14" spans="1:7" x14ac:dyDescent="0.25">
      <c r="A14" s="1"/>
      <c r="B14" s="32" t="s">
        <v>213</v>
      </c>
      <c r="C14" s="12">
        <f>C13*(1+'Fane 15. Nøgletal'!C15)</f>
        <v>52650.939600000005</v>
      </c>
      <c r="D14" s="13" t="s">
        <v>3</v>
      </c>
      <c r="E14" s="12">
        <f>E13*(1+'Fane 15. Nøgletal'!C15)</f>
        <v>284246.31</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6ZSqvVn3dqvPlCXum65OoBoKQfyqymibDCVPeKkxZDwC/7AzqNbybG1R1Oi6O3mzFWWiK3epyZNEf8D3XcRDw==" saltValue="UrE3/ElRlFIjqteZG3Q7Y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97</v>
      </c>
      <c r="C8" s="136"/>
      <c r="D8" s="136"/>
      <c r="E8" s="136"/>
      <c r="F8" s="137"/>
      <c r="G8" s="1"/>
    </row>
    <row r="9" spans="1:7" x14ac:dyDescent="0.25">
      <c r="A9" s="1"/>
      <c r="B9" s="84" t="s">
        <v>17</v>
      </c>
      <c r="C9" s="84" t="s">
        <v>11</v>
      </c>
      <c r="D9" s="85"/>
      <c r="E9" s="84" t="s">
        <v>31</v>
      </c>
      <c r="F9" s="31"/>
      <c r="G9" s="1"/>
    </row>
    <row r="10" spans="1:7" x14ac:dyDescent="0.25">
      <c r="A10" s="1"/>
      <c r="B10" s="23" t="s">
        <v>282</v>
      </c>
      <c r="C10" s="21">
        <v>234756</v>
      </c>
      <c r="D10" s="14" t="s">
        <v>3</v>
      </c>
      <c r="E10" s="9">
        <v>0</v>
      </c>
      <c r="F10" s="14" t="s">
        <v>3</v>
      </c>
      <c r="G10" s="1"/>
    </row>
    <row r="11" spans="1:7" x14ac:dyDescent="0.25">
      <c r="A11" s="1"/>
      <c r="B11" s="32" t="s">
        <v>232</v>
      </c>
      <c r="C11" s="12">
        <f>SUM(C10:C10)</f>
        <v>234756</v>
      </c>
      <c r="D11" s="13" t="s">
        <v>3</v>
      </c>
      <c r="E11" s="12">
        <f>SUM(E10:E10)</f>
        <v>0</v>
      </c>
      <c r="F11" s="13" t="s">
        <v>3</v>
      </c>
      <c r="G11" s="1"/>
    </row>
    <row r="12" spans="1:7" x14ac:dyDescent="0.25">
      <c r="A12" s="1"/>
      <c r="B12" s="32" t="s">
        <v>136</v>
      </c>
      <c r="C12" s="12">
        <f>C11*(1+'Fane 15. Nøgletal'!C15)^2</f>
        <v>251768.14756416003</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JDeI/zNXH4pELaAoDRHmq5kSrxO2D0v1Hvmd6K2OV+FMdDwc+00/I19Y8tPnN9XR1EBQwPg8P1GtRB2ehdYx1A==" saltValue="wY9Vx2WdgFOrhUJ6uRzks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258</v>
      </c>
      <c r="C3" s="128"/>
      <c r="D3" s="128"/>
      <c r="E3" s="128"/>
      <c r="F3" s="128"/>
      <c r="G3" s="1"/>
    </row>
    <row r="4" spans="1:7" ht="15" customHeight="1" x14ac:dyDescent="0.25">
      <c r="A4" s="1"/>
      <c r="B4" s="128"/>
      <c r="C4" s="128"/>
      <c r="D4" s="128"/>
      <c r="E4" s="128"/>
      <c r="F4" s="128"/>
      <c r="G4" s="1"/>
    </row>
    <row r="5" spans="1:7" x14ac:dyDescent="0.25">
      <c r="A5" s="1"/>
      <c r="B5" s="128"/>
      <c r="C5" s="128"/>
      <c r="D5" s="128"/>
      <c r="E5" s="128"/>
      <c r="F5" s="12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5" t="s">
        <v>91</v>
      </c>
      <c r="C9" s="136"/>
      <c r="D9" s="136"/>
      <c r="E9" s="136"/>
      <c r="F9" s="137"/>
      <c r="G9" s="1"/>
    </row>
    <row r="10" spans="1:7" x14ac:dyDescent="0.25">
      <c r="A10" s="1"/>
      <c r="B10" s="163" t="s">
        <v>224</v>
      </c>
      <c r="C10" s="164"/>
      <c r="D10" s="165"/>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24</v>
      </c>
      <c r="C12" s="130"/>
      <c r="D12" s="131"/>
      <c r="E12" s="9">
        <f>-E10*'Fane 15. Nøgletal'!C31</f>
        <v>0</v>
      </c>
      <c r="F12" s="14" t="s">
        <v>3</v>
      </c>
      <c r="G12" s="1"/>
    </row>
    <row r="13" spans="1:7" x14ac:dyDescent="0.25">
      <c r="A13" s="1"/>
      <c r="B13" s="135" t="s">
        <v>92</v>
      </c>
      <c r="C13" s="136"/>
      <c r="D13" s="137"/>
      <c r="E13" s="12">
        <f>SUM(E10:E12)*(1+'Fane 15. Nøgletal'!C15)^2</f>
        <v>0</v>
      </c>
      <c r="F13" s="13" t="s">
        <v>3</v>
      </c>
      <c r="G13" s="1"/>
    </row>
    <row r="14" spans="1:7" x14ac:dyDescent="0.25">
      <c r="A14" s="1"/>
      <c r="B14" s="1"/>
      <c r="C14" s="1"/>
      <c r="D14" s="1"/>
      <c r="E14" s="1"/>
      <c r="F14" s="1"/>
      <c r="G14" s="1"/>
    </row>
    <row r="15" spans="1:7" ht="15" customHeight="1" x14ac:dyDescent="0.25">
      <c r="A15" s="1"/>
      <c r="B15" s="135" t="s">
        <v>130</v>
      </c>
      <c r="C15" s="136"/>
      <c r="D15" s="136"/>
      <c r="E15" s="136"/>
      <c r="F15" s="137"/>
      <c r="G15" s="1"/>
    </row>
    <row r="16" spans="1:7" x14ac:dyDescent="0.25">
      <c r="A16" s="1"/>
      <c r="B16" s="163" t="s">
        <v>224</v>
      </c>
      <c r="C16" s="164"/>
      <c r="D16" s="165"/>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24</v>
      </c>
      <c r="C18" s="130"/>
      <c r="D18" s="131"/>
      <c r="E18" s="9">
        <f>-E16*'Fane 15. Nøgletal'!C31</f>
        <v>0</v>
      </c>
      <c r="F18" s="14" t="s">
        <v>3</v>
      </c>
      <c r="G18" s="1"/>
    </row>
    <row r="19" spans="1:7" x14ac:dyDescent="0.25">
      <c r="A19" s="1"/>
      <c r="B19" s="135" t="s">
        <v>131</v>
      </c>
      <c r="C19" s="136"/>
      <c r="D19" s="137"/>
      <c r="E19" s="12">
        <f>SUM(E16:E18)*(1+'Fane 15. Nøgletal'!C15)^3</f>
        <v>0</v>
      </c>
      <c r="F19" s="13" t="s">
        <v>3</v>
      </c>
      <c r="G19" s="1"/>
    </row>
    <row r="20" spans="1:7" x14ac:dyDescent="0.25">
      <c r="A20" s="1"/>
      <c r="B20" s="1"/>
      <c r="C20" s="1"/>
      <c r="D20" s="1"/>
      <c r="E20" s="1"/>
      <c r="F20" s="1"/>
      <c r="G20" s="1"/>
    </row>
    <row r="21" spans="1:7" ht="15" customHeight="1" x14ac:dyDescent="0.25">
      <c r="A21" s="1"/>
      <c r="B21" s="135" t="s">
        <v>157</v>
      </c>
      <c r="C21" s="136"/>
      <c r="D21" s="136"/>
      <c r="E21" s="136"/>
      <c r="F21" s="137"/>
      <c r="G21" s="1"/>
    </row>
    <row r="22" spans="1:7" x14ac:dyDescent="0.25">
      <c r="A22" s="1"/>
      <c r="B22" s="163" t="s">
        <v>224</v>
      </c>
      <c r="C22" s="164"/>
      <c r="D22" s="165"/>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24</v>
      </c>
      <c r="C24" s="130"/>
      <c r="D24" s="131"/>
      <c r="E24" s="9">
        <f>-E22*'Fane 15. Nøgletal'!C31</f>
        <v>0</v>
      </c>
      <c r="F24" s="14" t="s">
        <v>3</v>
      </c>
      <c r="G24" s="1"/>
    </row>
    <row r="25" spans="1:7" x14ac:dyDescent="0.25">
      <c r="A25" s="1"/>
      <c r="B25" s="135" t="s">
        <v>158</v>
      </c>
      <c r="C25" s="136"/>
      <c r="D25" s="137"/>
      <c r="E25" s="12">
        <f>SUM(E22:E24)*(1+'Fane 15. Nøgletal'!C15)^4</f>
        <v>0</v>
      </c>
      <c r="F25" s="13" t="s">
        <v>3</v>
      </c>
      <c r="G25" s="1"/>
    </row>
    <row r="26" spans="1:7" x14ac:dyDescent="0.25">
      <c r="A26" s="1"/>
      <c r="B26" s="1"/>
      <c r="C26" s="1"/>
      <c r="D26" s="1"/>
      <c r="E26" s="1"/>
      <c r="F26" s="1"/>
      <c r="G26" s="1"/>
    </row>
    <row r="27" spans="1:7" ht="15" customHeight="1" x14ac:dyDescent="0.25">
      <c r="A27" s="1"/>
      <c r="B27" s="135" t="s">
        <v>214</v>
      </c>
      <c r="C27" s="136"/>
      <c r="D27" s="136"/>
      <c r="E27" s="136"/>
      <c r="F27" s="137"/>
      <c r="G27" s="1"/>
    </row>
    <row r="28" spans="1:7" ht="14.25" customHeight="1" x14ac:dyDescent="0.25">
      <c r="A28" s="1"/>
      <c r="B28" s="163" t="s">
        <v>224</v>
      </c>
      <c r="C28" s="164"/>
      <c r="D28" s="165"/>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24</v>
      </c>
      <c r="C30" s="130"/>
      <c r="D30" s="131"/>
      <c r="E30" s="9">
        <f>-E28*'Fane 15. Nøgletal'!C31</f>
        <v>0</v>
      </c>
      <c r="F30" s="14" t="s">
        <v>3</v>
      </c>
      <c r="G30" s="1"/>
    </row>
    <row r="31" spans="1:7" x14ac:dyDescent="0.25">
      <c r="A31" s="1"/>
      <c r="B31" s="135" t="s">
        <v>215</v>
      </c>
      <c r="C31" s="136"/>
      <c r="D31" s="137"/>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9+5mEkvEAVhYTBx7TN0zDxj6g8D9Xn0MPCWcJNN7s7nRpmDwslzhL6x22kGg5wKDhm1wc+8fFyzw687PrUoXw==" saltValue="qPSZzXld7H29lbm1SBOWd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3.140625" style="2" customWidth="1"/>
    <col min="2" max="2" width="41.5703125" style="2" customWidth="1"/>
    <col min="3" max="3" width="15.5703125" style="2" customWidth="1"/>
    <col min="4" max="4" width="3.28515625" style="2" customWidth="1"/>
    <col min="5" max="5" width="17.140625" style="2" customWidth="1"/>
    <col min="6" max="6" width="3.28515625" style="2" customWidth="1"/>
    <col min="7" max="7" width="2.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259</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132</v>
      </c>
      <c r="C8" s="136"/>
      <c r="D8" s="136"/>
      <c r="E8" s="136"/>
      <c r="F8" s="137"/>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YNW5uiLVcaw5VKThUdq4gYPoWll6u9NZ1bw/gSAlrz9d5fcm9POXLDqx7xpuwMngGYeivIQQnpu3hxSybmI/gQ==" saltValue="dEgdR0+Qip0srMbzUcpze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260</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93</v>
      </c>
      <c r="C9" s="136"/>
      <c r="D9" s="136"/>
      <c r="E9" s="136"/>
      <c r="F9" s="137"/>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4UX/AjCw2fJkSzFhgGpqK8t16Z3nknN3wpg1AAm0qdRr/ejs3HZ+SU+K9WBmXtuMdlXkkts4KoAVgdHbuojC5A==" saltValue="px6nTECtqATfWDlx/xN7l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20625133.409034267</v>
      </c>
      <c r="D9" s="8" t="s">
        <v>3</v>
      </c>
      <c r="E9" s="1"/>
    </row>
    <row r="10" spans="1:5" ht="17.25" customHeight="1" x14ac:dyDescent="0.25">
      <c r="A10" s="1"/>
      <c r="B10" s="83" t="s">
        <v>39</v>
      </c>
      <c r="C10" s="7">
        <f>'Fane 11.1. Varige tillæg'!C14</f>
        <v>52650.939600000005</v>
      </c>
      <c r="D10" s="8" t="s">
        <v>3</v>
      </c>
      <c r="E10" s="1"/>
    </row>
    <row r="11" spans="1:5" ht="17.25" customHeight="1" x14ac:dyDescent="0.25">
      <c r="A11" s="1"/>
      <c r="B11" s="83" t="s">
        <v>40</v>
      </c>
      <c r="C11" s="9">
        <f>'Fane 11.1. Varige tillæg'!E14</f>
        <v>284246.31</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80056.482335573077</v>
      </c>
      <c r="D16" s="8" t="s">
        <v>3</v>
      </c>
      <c r="E16" s="1"/>
    </row>
    <row r="17" spans="1:5" ht="17.25" customHeight="1" x14ac:dyDescent="0.25">
      <c r="A17" s="1"/>
      <c r="B17" s="83" t="s">
        <v>10</v>
      </c>
      <c r="C17" s="44">
        <f>-SUM(C9,C10:C16)*'Fane 5. Individuelt eff. krav'!G9</f>
        <v>-89439.379403108906</v>
      </c>
      <c r="D17" s="8" t="s">
        <v>3</v>
      </c>
      <c r="E17" s="1"/>
    </row>
    <row r="18" spans="1:5" ht="17.25" customHeight="1" x14ac:dyDescent="0.25">
      <c r="A18" s="1"/>
      <c r="B18" s="83" t="s">
        <v>24</v>
      </c>
      <c r="C18" s="44">
        <f>-'Fane 4.1. Gen. krav - drift'!G45</f>
        <v>-250301.52136377001</v>
      </c>
      <c r="D18" s="8" t="s">
        <v>3</v>
      </c>
      <c r="E18" s="1"/>
    </row>
    <row r="19" spans="1:5" ht="17.25" customHeight="1" x14ac:dyDescent="0.25">
      <c r="A19" s="1"/>
      <c r="B19" s="83" t="s">
        <v>25</v>
      </c>
      <c r="C19" s="44">
        <f>-'Fane 4.2. Gen. krav - anlæg'!G43</f>
        <v>-138566.87295374702</v>
      </c>
      <c r="D19" s="8" t="s">
        <v>3</v>
      </c>
      <c r="E19" s="48"/>
    </row>
    <row r="20" spans="1:5" ht="17.25" customHeight="1" x14ac:dyDescent="0.25">
      <c r="A20" s="1"/>
      <c r="B20" s="89" t="s">
        <v>21</v>
      </c>
      <c r="C20" s="10">
        <f>SUM(C9:C19)</f>
        <v>20563779.367249213</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2440286.8686072002</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251768.14756416003</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-6105.5033190495396</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245662.64424511048</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23249728.880101524</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jM3mhtSSeStXDx1YhruQ2UfBxtu0XAA6N3d/li/ldEjiGEGNJyoaJU2ErS2BY+TYftxhwUojJ5K3IHo9GVUJzA==" saltValue="k0jNReBaztw1If8dzcnLK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8" t="s">
        <v>261</v>
      </c>
      <c r="C3" s="128"/>
      <c r="D3" s="1"/>
    </row>
    <row r="4" spans="1:4" ht="25.5" customHeight="1" x14ac:dyDescent="0.25">
      <c r="A4" s="1"/>
      <c r="B4" s="128"/>
      <c r="C4" s="12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ZJUln6IxO9bvEnJ+PgdcNuzv9YfNGHEap4kEm1B/4jUYoquKh4ZLeYSF14sR2s5oX4V7n6/cBD1w42s/9HLTpQ==" saltValue="iaKhLSVGyk06AM7yDwhJW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20563779.367249213</v>
      </c>
      <c r="D9" s="8" t="s">
        <v>3</v>
      </c>
      <c r="E9" s="1"/>
    </row>
    <row r="10" spans="1:5" ht="15" customHeight="1" x14ac:dyDescent="0.25">
      <c r="A10" s="1"/>
      <c r="B10" s="25" t="s">
        <v>19</v>
      </c>
      <c r="C10" s="7">
        <f>SUM(C9:C9)*'Fane 15. Nøgletal'!C15</f>
        <v>732070.54547407199</v>
      </c>
      <c r="D10" s="8" t="s">
        <v>3</v>
      </c>
      <c r="E10" s="1"/>
    </row>
    <row r="11" spans="1:5" ht="15" customHeight="1" x14ac:dyDescent="0.25">
      <c r="A11" s="1"/>
      <c r="B11" s="25" t="s">
        <v>10</v>
      </c>
      <c r="C11" s="9">
        <f>-SUM(C9:C10)*'Fane 5. Individuelt eff. krav'!G9</f>
        <v>-90517.99791985529</v>
      </c>
      <c r="D11" s="8" t="s">
        <v>3</v>
      </c>
      <c r="E11" s="1"/>
    </row>
    <row r="12" spans="1:5" ht="15" customHeight="1" x14ac:dyDescent="0.25">
      <c r="A12" s="1"/>
      <c r="B12" s="25" t="s">
        <v>24</v>
      </c>
      <c r="C12" s="9">
        <f>-'Fane 4.1. Gen. krav - drift'!G53</f>
        <v>-254028.01041383384</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20951303.904389597</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omk.'!C21+'Fane 6. Ikke-påvirkelige omk.'!C29</f>
        <v>2527161.0811296166</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-107882.89985495806</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23370582.085664257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RLn2kUrw2csr5wKMq1KXxioQWAuK6vPbRY1u035M7oKKvs2R7kYb1FajT/4cjmWsCXtbLkMLLjmHa7trVhtxgg==" saltValue="TPjtQndyQgUkKXjIzMq0E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20951303.904389597</v>
      </c>
      <c r="D9" s="8" t="s">
        <v>3</v>
      </c>
      <c r="E9" s="1"/>
    </row>
    <row r="10" spans="1:5" ht="15" customHeight="1" x14ac:dyDescent="0.25">
      <c r="A10" s="1"/>
      <c r="B10" s="25" t="s">
        <v>19</v>
      </c>
      <c r="C10" s="7">
        <f>SUM(C9:C9)*'Fane 15. Nøgletal'!C15</f>
        <v>745866.4189962697</v>
      </c>
      <c r="D10" s="8" t="s">
        <v>3</v>
      </c>
      <c r="E10" s="1"/>
    </row>
    <row r="11" spans="1:5" ht="15" customHeight="1" x14ac:dyDescent="0.25">
      <c r="A11" s="1"/>
      <c r="B11" s="25" t="s">
        <v>10</v>
      </c>
      <c r="C11" s="9">
        <f>-SUM(C9:C10)*'Fane 5. Individuelt eff. krav'!G9</f>
        <v>-92223.81009670801</v>
      </c>
      <c r="D11" s="8" t="s">
        <v>3</v>
      </c>
      <c r="E11" s="1"/>
    </row>
    <row r="12" spans="1:5" ht="15" customHeight="1" x14ac:dyDescent="0.25">
      <c r="A12" s="1"/>
      <c r="B12" s="25" t="s">
        <v>24</v>
      </c>
      <c r="C12" s="9">
        <f>-'Fane 4.1. Gen. krav - drift'!G58</f>
        <v>-257809.97943287503</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21347136.533856288</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2617128.0156178311</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-107882.89985495806</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23856381.649619162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r8PxaO0m5U7Ex3G2sSwfw3g5GEkHM1zFOamX+02MYUqVF+wh/ujsIZtw3Cz2LymoMsYAAbc3C+FKsym4qXqgNg==" saltValue="Oh3yhkBpYvk9Y2YWnLTXq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21347136.533856288</v>
      </c>
      <c r="D9" s="8" t="s">
        <v>3</v>
      </c>
      <c r="E9" s="1"/>
    </row>
    <row r="10" spans="1:5" ht="15" customHeight="1" x14ac:dyDescent="0.25">
      <c r="A10" s="1"/>
      <c r="B10" s="25" t="s">
        <v>19</v>
      </c>
      <c r="C10" s="7">
        <f>SUM(C9:C9)*'Fane 15. Nøgletal'!C15</f>
        <v>759958.06060528383</v>
      </c>
      <c r="D10" s="8" t="s">
        <v>3</v>
      </c>
      <c r="E10" s="1"/>
    </row>
    <row r="11" spans="1:5" ht="15" customHeight="1" x14ac:dyDescent="0.25">
      <c r="A11" s="1"/>
      <c r="B11" s="25" t="s">
        <v>10</v>
      </c>
      <c r="C11" s="9">
        <f>-SUM(C9:C10)*'Fane 5. Individuelt eff. krav'!G9</f>
        <v>-93966.192977344283</v>
      </c>
      <c r="D11" s="8" t="s">
        <v>3</v>
      </c>
      <c r="E11" s="1"/>
    </row>
    <row r="12" spans="1:5" ht="15" customHeight="1" x14ac:dyDescent="0.25">
      <c r="A12" s="1"/>
      <c r="B12" s="25" t="s">
        <v>24</v>
      </c>
      <c r="C12" s="9">
        <f>-'Fane 4.1. Gen. krav - drift'!G63</f>
        <v>-261648.25440667168</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21751480.147077557</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2710297.7729738262</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-107882.89985495806</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24353895.020196423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PJtEfj7E8jl87J+XBOhk1MNECAyV/ovSC9rlp0QGszvWgk+pDTmVLsA/UyPl/PKMhgNk+byV27V03qrNvDbvDg==" saltValue="ol/2iUyXTXaKpkmx2QuS8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191</v>
      </c>
      <c r="C3" s="128"/>
      <c r="D3" s="128"/>
      <c r="E3" s="128"/>
      <c r="F3" s="128"/>
      <c r="G3" s="1"/>
    </row>
    <row r="4" spans="1:7" ht="29.2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288</v>
      </c>
      <c r="C8" s="27"/>
      <c r="D8" s="27"/>
      <c r="E8" s="27"/>
      <c r="F8" s="19"/>
      <c r="G8" s="1"/>
    </row>
    <row r="9" spans="1:7" ht="15" customHeight="1" x14ac:dyDescent="0.25">
      <c r="A9" s="1"/>
      <c r="B9" s="125" t="s">
        <v>192</v>
      </c>
      <c r="C9" s="126"/>
      <c r="D9" s="127"/>
      <c r="E9" s="7">
        <v>21002857.417766966</v>
      </c>
      <c r="F9" s="8" t="s">
        <v>3</v>
      </c>
      <c r="G9" s="1"/>
    </row>
    <row r="10" spans="1:7" ht="15" customHeight="1" x14ac:dyDescent="0.25">
      <c r="A10" s="1"/>
      <c r="B10" s="129" t="s">
        <v>39</v>
      </c>
      <c r="C10" s="130"/>
      <c r="D10" s="131"/>
      <c r="E10" s="7">
        <v>36215.116800000003</v>
      </c>
      <c r="F10" s="8" t="s">
        <v>3</v>
      </c>
      <c r="G10" s="1"/>
    </row>
    <row r="11" spans="1:7" ht="15" customHeight="1" x14ac:dyDescent="0.25">
      <c r="A11" s="1"/>
      <c r="B11" s="129" t="s">
        <v>40</v>
      </c>
      <c r="C11" s="130"/>
      <c r="D11" s="131"/>
      <c r="E11" s="9">
        <v>0</v>
      </c>
      <c r="F11" s="8" t="s">
        <v>3</v>
      </c>
      <c r="G11" s="1"/>
    </row>
    <row r="12" spans="1:7" ht="15" customHeight="1" x14ac:dyDescent="0.25">
      <c r="A12" s="1"/>
      <c r="B12" s="129" t="s">
        <v>27</v>
      </c>
      <c r="C12" s="130"/>
      <c r="D12" s="131"/>
      <c r="E12" s="9">
        <v>0</v>
      </c>
      <c r="F12" s="8" t="s">
        <v>3</v>
      </c>
      <c r="G12" s="1"/>
    </row>
    <row r="13" spans="1:7" ht="15" customHeight="1" x14ac:dyDescent="0.25">
      <c r="A13" s="1"/>
      <c r="B13" s="125" t="s">
        <v>26</v>
      </c>
      <c r="C13" s="126"/>
      <c r="D13" s="127"/>
      <c r="E13" s="9">
        <v>0</v>
      </c>
      <c r="F13" s="8" t="s">
        <v>3</v>
      </c>
      <c r="G13" s="1"/>
    </row>
    <row r="14" spans="1:7" ht="15" customHeight="1" x14ac:dyDescent="0.25">
      <c r="A14" s="1"/>
      <c r="B14" s="125" t="s">
        <v>29</v>
      </c>
      <c r="C14" s="126"/>
      <c r="D14" s="127"/>
      <c r="E14" s="9">
        <v>0</v>
      </c>
      <c r="F14" s="8" t="s">
        <v>3</v>
      </c>
      <c r="G14" s="1"/>
    </row>
    <row r="15" spans="1:7" ht="15" customHeight="1" x14ac:dyDescent="0.25">
      <c r="A15" s="1"/>
      <c r="B15" s="125" t="s">
        <v>28</v>
      </c>
      <c r="C15" s="126"/>
      <c r="D15" s="127"/>
      <c r="E15" s="9">
        <v>0</v>
      </c>
      <c r="F15" s="8" t="s">
        <v>3</v>
      </c>
      <c r="G15" s="1"/>
    </row>
    <row r="16" spans="1:7" ht="15" customHeight="1" x14ac:dyDescent="0.25">
      <c r="A16" s="1"/>
      <c r="B16" s="125" t="s">
        <v>19</v>
      </c>
      <c r="C16" s="126"/>
      <c r="D16" s="127"/>
      <c r="E16" s="9">
        <f>SUM(E9:E15)*'Fane 15. Nøgletal'!C14</f>
        <v>69428.93936407099</v>
      </c>
      <c r="F16" s="8" t="s">
        <v>3</v>
      </c>
      <c r="G16" s="1"/>
    </row>
    <row r="17" spans="1:7" ht="15" customHeight="1" x14ac:dyDescent="0.25">
      <c r="A17" s="1"/>
      <c r="B17" s="125" t="s">
        <v>10</v>
      </c>
      <c r="C17" s="126"/>
      <c r="D17" s="127"/>
      <c r="E17" s="9">
        <v>-89721.673487518201</v>
      </c>
      <c r="F17" s="8" t="s">
        <v>3</v>
      </c>
      <c r="G17" s="1"/>
    </row>
    <row r="18" spans="1:7" ht="15" customHeight="1" x14ac:dyDescent="0.25">
      <c r="A18" s="1"/>
      <c r="B18" s="125" t="s">
        <v>24</v>
      </c>
      <c r="C18" s="126"/>
      <c r="D18" s="127"/>
      <c r="E18" s="9">
        <f>-'Fane 4.1. Gen. krav - drift'!G39</f>
        <v>-253460.53442290929</v>
      </c>
      <c r="F18" s="8" t="s">
        <v>3</v>
      </c>
      <c r="G18" s="1"/>
    </row>
    <row r="19" spans="1:7" ht="15" customHeight="1" x14ac:dyDescent="0.25">
      <c r="A19" s="1"/>
      <c r="B19" s="125" t="s">
        <v>25</v>
      </c>
      <c r="C19" s="126"/>
      <c r="D19" s="127"/>
      <c r="E19" s="9">
        <f>-'Fane 4.2. Gen. krav - anlæg'!G37</f>
        <v>-140185.85698634517</v>
      </c>
      <c r="F19" s="8" t="s">
        <v>3</v>
      </c>
      <c r="G19" s="1"/>
    </row>
    <row r="20" spans="1:7" ht="15" customHeight="1" x14ac:dyDescent="0.25">
      <c r="A20" s="1"/>
      <c r="B20" s="54" t="s">
        <v>21</v>
      </c>
      <c r="C20" s="99"/>
      <c r="D20" s="101"/>
      <c r="E20" s="51">
        <f>SUM(E9:E19)</f>
        <v>20625133.409034267</v>
      </c>
      <c r="F20" s="53" t="s">
        <v>3</v>
      </c>
      <c r="G20" s="1"/>
    </row>
    <row r="21" spans="1:7" ht="15" customHeight="1" x14ac:dyDescent="0.25">
      <c r="A21" s="1"/>
      <c r="B21" s="32" t="s">
        <v>12</v>
      </c>
      <c r="C21" s="27"/>
      <c r="D21" s="27"/>
      <c r="E21" s="27"/>
      <c r="F21" s="19"/>
      <c r="G21" s="1"/>
    </row>
    <row r="22" spans="1:7" ht="15" customHeight="1" x14ac:dyDescent="0.25">
      <c r="A22" s="1"/>
      <c r="B22" s="132" t="s">
        <v>12</v>
      </c>
      <c r="C22" s="133"/>
      <c r="D22" s="134"/>
      <c r="E22" s="10">
        <v>2300211.5777934506</v>
      </c>
      <c r="F22" s="11" t="s">
        <v>3</v>
      </c>
      <c r="G22" s="1"/>
    </row>
    <row r="23" spans="1:7" ht="15" customHeight="1" x14ac:dyDescent="0.25">
      <c r="A23" s="1"/>
      <c r="B23" s="135" t="s">
        <v>86</v>
      </c>
      <c r="C23" s="136"/>
      <c r="D23" s="137"/>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9" t="s">
        <v>81</v>
      </c>
      <c r="C26" s="130"/>
      <c r="D26" s="131"/>
      <c r="E26" s="9">
        <v>0</v>
      </c>
      <c r="F26" s="8" t="s">
        <v>3</v>
      </c>
      <c r="G26" s="1"/>
    </row>
    <row r="27" spans="1:7" ht="15" customHeight="1" x14ac:dyDescent="0.25">
      <c r="A27" s="1"/>
      <c r="B27" s="129" t="s">
        <v>82</v>
      </c>
      <c r="C27" s="130"/>
      <c r="D27" s="130"/>
      <c r="E27" s="9">
        <v>0</v>
      </c>
      <c r="F27" s="8" t="s">
        <v>3</v>
      </c>
      <c r="G27" s="1"/>
    </row>
    <row r="28" spans="1:7" ht="15" customHeight="1" x14ac:dyDescent="0.25">
      <c r="A28" s="1"/>
      <c r="B28" s="138" t="s">
        <v>87</v>
      </c>
      <c r="C28" s="139"/>
      <c r="D28" s="139"/>
      <c r="E28" s="39">
        <v>0</v>
      </c>
      <c r="F28" s="11" t="s">
        <v>3</v>
      </c>
      <c r="G28" s="1"/>
    </row>
    <row r="29" spans="1:7" ht="15" customHeight="1" x14ac:dyDescent="0.25">
      <c r="A29" s="1"/>
      <c r="B29" s="32" t="s">
        <v>143</v>
      </c>
      <c r="C29" s="32"/>
      <c r="D29" s="32"/>
      <c r="E29" s="27"/>
      <c r="F29" s="19"/>
      <c r="G29" s="1"/>
    </row>
    <row r="30" spans="1:7" ht="15" customHeight="1" x14ac:dyDescent="0.25">
      <c r="A30" s="1"/>
      <c r="B30" s="132" t="s">
        <v>142</v>
      </c>
      <c r="C30" s="133"/>
      <c r="D30" s="133"/>
      <c r="E30" s="39">
        <v>0</v>
      </c>
      <c r="F30" s="11" t="s">
        <v>3</v>
      </c>
      <c r="G30" s="1"/>
    </row>
    <row r="31" spans="1:7" x14ac:dyDescent="0.25">
      <c r="A31" s="1"/>
      <c r="B31" s="32" t="s">
        <v>123</v>
      </c>
      <c r="C31" s="27"/>
      <c r="D31" s="27"/>
      <c r="E31" s="27"/>
      <c r="F31" s="19"/>
      <c r="G31" s="1"/>
    </row>
    <row r="32" spans="1:7" ht="15.4" customHeight="1" x14ac:dyDescent="0.25">
      <c r="A32" s="1"/>
      <c r="B32" s="132" t="s">
        <v>123</v>
      </c>
      <c r="C32" s="133"/>
      <c r="D32" s="134"/>
      <c r="E32" s="10">
        <v>-3412452</v>
      </c>
      <c r="F32" s="11" t="s">
        <v>3</v>
      </c>
      <c r="G32" s="1"/>
    </row>
    <row r="33" spans="1:7" ht="15.4" customHeight="1" x14ac:dyDescent="0.25">
      <c r="A33" s="1"/>
      <c r="B33" s="135" t="s">
        <v>175</v>
      </c>
      <c r="C33" s="136"/>
      <c r="D33" s="136"/>
      <c r="E33" s="136"/>
      <c r="F33" s="137"/>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19512892.986827716</v>
      </c>
      <c r="F35" s="52" t="s">
        <v>3</v>
      </c>
      <c r="G35" s="1"/>
    </row>
    <row r="36" spans="1:7" ht="27" customHeight="1" x14ac:dyDescent="0.25">
      <c r="A36" s="1"/>
      <c r="B36" s="125" t="s">
        <v>222</v>
      </c>
      <c r="C36" s="126"/>
      <c r="D36" s="126"/>
      <c r="E36" s="126"/>
      <c r="F36" s="127"/>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gj80lkCX3+N2CFPStHDe9lG5eLYFty41XRpfKOk/7H06q/ByVD5izRsM/KM0DZq2cE9ym0V9Q+Wnmtk09JTvEg==" saltValue="STF6M5hn8giTkV1RZuXEvA=="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28515625" style="2" customWidth="1"/>
    <col min="2" max="5" width="9.140625" style="2"/>
    <col min="6" max="6" width="24"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t="s">
        <v>291</v>
      </c>
      <c r="B1" s="36"/>
      <c r="C1" s="36"/>
      <c r="D1" s="36"/>
      <c r="E1" s="36"/>
      <c r="F1" s="36"/>
      <c r="G1" s="36"/>
      <c r="H1" s="36"/>
      <c r="I1" s="1"/>
    </row>
    <row r="2" spans="1:9" ht="15" customHeight="1" x14ac:dyDescent="0.25">
      <c r="A2" s="1"/>
      <c r="B2" s="128" t="s">
        <v>109</v>
      </c>
      <c r="C2" s="128"/>
      <c r="D2" s="128"/>
      <c r="E2" s="128"/>
      <c r="F2" s="128"/>
      <c r="G2" s="128"/>
      <c r="H2" s="128"/>
      <c r="I2" s="1"/>
    </row>
    <row r="3" spans="1:9" ht="28.5" customHeight="1" x14ac:dyDescent="0.25">
      <c r="A3" s="1"/>
      <c r="B3" s="128"/>
      <c r="C3" s="128"/>
      <c r="D3" s="128"/>
      <c r="E3" s="128"/>
      <c r="F3" s="128"/>
      <c r="G3" s="128"/>
      <c r="H3" s="128"/>
      <c r="I3" s="1"/>
    </row>
    <row r="4" spans="1:9" x14ac:dyDescent="0.25">
      <c r="A4" s="1"/>
      <c r="B4" s="135" t="s">
        <v>52</v>
      </c>
      <c r="C4" s="136"/>
      <c r="D4" s="136"/>
      <c r="E4" s="136"/>
      <c r="F4" s="136"/>
      <c r="G4" s="136"/>
      <c r="H4" s="137"/>
      <c r="I4" s="1"/>
    </row>
    <row r="5" spans="1:9" x14ac:dyDescent="0.25">
      <c r="A5" s="1"/>
      <c r="B5" s="140" t="s">
        <v>41</v>
      </c>
      <c r="C5" s="141"/>
      <c r="D5" s="141"/>
      <c r="E5" s="141"/>
      <c r="F5" s="142"/>
      <c r="G5" s="76">
        <v>13032627</v>
      </c>
      <c r="H5" s="14" t="s">
        <v>3</v>
      </c>
      <c r="I5" s="1"/>
    </row>
    <row r="6" spans="1:9" x14ac:dyDescent="0.25">
      <c r="A6" s="1"/>
      <c r="B6" s="125" t="s">
        <v>120</v>
      </c>
      <c r="C6" s="126"/>
      <c r="D6" s="126"/>
      <c r="E6" s="126"/>
      <c r="F6" s="127"/>
      <c r="G6" s="77">
        <v>3822166</v>
      </c>
      <c r="H6" s="14" t="s">
        <v>3</v>
      </c>
      <c r="I6" s="1"/>
    </row>
    <row r="7" spans="1:9" x14ac:dyDescent="0.25">
      <c r="A7" s="1"/>
      <c r="B7" s="140" t="s">
        <v>42</v>
      </c>
      <c r="C7" s="141"/>
      <c r="D7" s="141"/>
      <c r="E7" s="141"/>
      <c r="F7" s="142"/>
      <c r="G7" s="76">
        <f>SUM(G5:G6)*'Fane 15. Nøgletal'!C31</f>
        <v>337095.86</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5" t="s">
        <v>53</v>
      </c>
      <c r="C10" s="136"/>
      <c r="D10" s="136"/>
      <c r="E10" s="136"/>
      <c r="F10" s="136"/>
      <c r="G10" s="143"/>
      <c r="H10" s="137"/>
      <c r="I10" s="1"/>
    </row>
    <row r="11" spans="1:9" x14ac:dyDescent="0.25">
      <c r="A11" s="1"/>
      <c r="B11" s="140" t="s">
        <v>43</v>
      </c>
      <c r="C11" s="141"/>
      <c r="D11" s="141"/>
      <c r="E11" s="141"/>
      <c r="F11" s="142"/>
      <c r="G11" s="76">
        <f>(G5-G7)*(1+'Fane 15. Nøgletal'!C10)</f>
        <v>12917702.934950002</v>
      </c>
      <c r="H11" s="14" t="s">
        <v>3</v>
      </c>
      <c r="I11" s="1"/>
    </row>
    <row r="12" spans="1:9" ht="15" customHeight="1" x14ac:dyDescent="0.25">
      <c r="A12" s="1"/>
      <c r="B12" s="140" t="s">
        <v>121</v>
      </c>
      <c r="C12" s="141"/>
      <c r="D12" s="141"/>
      <c r="E12" s="141"/>
      <c r="F12" s="142"/>
      <c r="G12" s="77">
        <v>0.46321992882527413</v>
      </c>
      <c r="H12" s="14" t="s">
        <v>3</v>
      </c>
      <c r="I12" s="1"/>
    </row>
    <row r="13" spans="1:9" x14ac:dyDescent="0.25">
      <c r="A13" s="1"/>
      <c r="B13" s="125" t="s">
        <v>118</v>
      </c>
      <c r="C13" s="126"/>
      <c r="D13" s="126"/>
      <c r="E13" s="126"/>
      <c r="F13" s="127"/>
      <c r="G13" s="77">
        <v>2399063.5350000001</v>
      </c>
      <c r="H13" s="14" t="s">
        <v>3</v>
      </c>
      <c r="I13" s="1"/>
    </row>
    <row r="14" spans="1:9" x14ac:dyDescent="0.25">
      <c r="A14" s="1"/>
      <c r="B14" s="147" t="s">
        <v>44</v>
      </c>
      <c r="C14" s="148"/>
      <c r="D14" s="148"/>
      <c r="E14" s="148"/>
      <c r="F14" s="149"/>
      <c r="G14" s="77">
        <v>0</v>
      </c>
      <c r="H14" s="14" t="s">
        <v>3</v>
      </c>
      <c r="I14" s="1"/>
    </row>
    <row r="15" spans="1:9" x14ac:dyDescent="0.25">
      <c r="A15" s="1"/>
      <c r="B15" s="140" t="s">
        <v>45</v>
      </c>
      <c r="C15" s="141"/>
      <c r="D15" s="141"/>
      <c r="E15" s="141"/>
      <c r="F15" s="142"/>
      <c r="G15" s="76">
        <f>SUM(G11:G14)*'Fane 15. Nøgletal'!C31</f>
        <v>306335.33866339864</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5" t="s">
        <v>54</v>
      </c>
      <c r="C18" s="136"/>
      <c r="D18" s="136"/>
      <c r="E18" s="136"/>
      <c r="F18" s="136"/>
      <c r="G18" s="143"/>
      <c r="H18" s="137"/>
      <c r="I18" s="1"/>
    </row>
    <row r="19" spans="1:9" x14ac:dyDescent="0.25">
      <c r="A19" s="1"/>
      <c r="B19" s="140" t="s">
        <v>46</v>
      </c>
      <c r="C19" s="141"/>
      <c r="D19" s="141"/>
      <c r="E19" s="141"/>
      <c r="F19" s="142"/>
      <c r="G19" s="76">
        <f>(SUM(G11:G12,G14)-(G15))*(1+'Fane 15. Nøgletal'!C10)</f>
        <v>12832067.000547897</v>
      </c>
      <c r="H19" s="14" t="s">
        <v>3</v>
      </c>
      <c r="I19" s="1"/>
    </row>
    <row r="20" spans="1:9" x14ac:dyDescent="0.25">
      <c r="A20" s="1"/>
      <c r="B20" s="147" t="s">
        <v>47</v>
      </c>
      <c r="C20" s="148"/>
      <c r="D20" s="148"/>
      <c r="E20" s="148"/>
      <c r="F20" s="149"/>
      <c r="G20" s="77">
        <v>0</v>
      </c>
      <c r="H20" s="14" t="s">
        <v>3</v>
      </c>
      <c r="I20" s="1"/>
    </row>
    <row r="21" spans="1:9" x14ac:dyDescent="0.25">
      <c r="A21" s="1"/>
      <c r="B21" s="140" t="s">
        <v>48</v>
      </c>
      <c r="C21" s="141"/>
      <c r="D21" s="141"/>
      <c r="E21" s="141"/>
      <c r="F21" s="142"/>
      <c r="G21" s="76">
        <f>SUM(G19:G20)*'Fane 15. Nøgletal'!C31</f>
        <v>256641.34001095794</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5" t="s">
        <v>55</v>
      </c>
      <c r="C24" s="136"/>
      <c r="D24" s="136"/>
      <c r="E24" s="136"/>
      <c r="F24" s="136"/>
      <c r="G24" s="143"/>
      <c r="H24" s="137"/>
      <c r="I24" s="1"/>
    </row>
    <row r="25" spans="1:9" x14ac:dyDescent="0.25">
      <c r="A25" s="1"/>
      <c r="B25" s="140" t="s">
        <v>49</v>
      </c>
      <c r="C25" s="141"/>
      <c r="D25" s="141"/>
      <c r="E25" s="141"/>
      <c r="F25" s="142"/>
      <c r="G25" s="76">
        <f>(G19+G20-G21)*(1+'Fane 15. Nøgletal'!C12)</f>
        <v>12823161.546049519</v>
      </c>
      <c r="H25" s="14" t="s">
        <v>3</v>
      </c>
      <c r="I25" s="1"/>
    </row>
    <row r="26" spans="1:9" x14ac:dyDescent="0.25">
      <c r="A26" s="1"/>
      <c r="B26" s="147" t="s">
        <v>50</v>
      </c>
      <c r="C26" s="148"/>
      <c r="D26" s="148"/>
      <c r="E26" s="148"/>
      <c r="F26" s="149"/>
      <c r="G26" s="77">
        <v>0</v>
      </c>
      <c r="H26" s="14" t="s">
        <v>3</v>
      </c>
      <c r="I26" s="1"/>
    </row>
    <row r="27" spans="1:9" x14ac:dyDescent="0.25">
      <c r="A27" s="1"/>
      <c r="B27" s="140" t="s">
        <v>51</v>
      </c>
      <c r="C27" s="141"/>
      <c r="D27" s="141"/>
      <c r="E27" s="141"/>
      <c r="F27" s="142"/>
      <c r="G27" s="76">
        <f>(G25+G26)*'Fane 15. Nøgletal'!C31</f>
        <v>256463.23092099038</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5" t="s">
        <v>58</v>
      </c>
      <c r="C30" s="136"/>
      <c r="D30" s="136"/>
      <c r="E30" s="136"/>
      <c r="F30" s="136"/>
      <c r="G30" s="143"/>
      <c r="H30" s="137"/>
      <c r="I30" s="1"/>
    </row>
    <row r="31" spans="1:9" x14ac:dyDescent="0.25">
      <c r="A31" s="1"/>
      <c r="B31" s="140" t="s">
        <v>59</v>
      </c>
      <c r="C31" s="141"/>
      <c r="D31" s="141"/>
      <c r="E31" s="141"/>
      <c r="F31" s="142"/>
      <c r="G31" s="76">
        <f>(G25+G26-G27)*(1+'Fane 15. Nøgletal'!C12)</f>
        <v>12814262.27193656</v>
      </c>
      <c r="H31" s="14" t="s">
        <v>3</v>
      </c>
      <c r="I31" s="1"/>
    </row>
    <row r="32" spans="1:9" x14ac:dyDescent="0.25">
      <c r="A32" s="1"/>
      <c r="B32" s="140" t="s">
        <v>137</v>
      </c>
      <c r="C32" s="141"/>
      <c r="D32" s="141"/>
      <c r="E32" s="141"/>
      <c r="F32" s="142"/>
      <c r="G32" s="76">
        <v>37909.331628840002</v>
      </c>
      <c r="H32" s="14" t="s">
        <v>3</v>
      </c>
      <c r="I32" s="1"/>
    </row>
    <row r="33" spans="1:9" x14ac:dyDescent="0.25">
      <c r="A33" s="1"/>
      <c r="B33" s="140" t="s">
        <v>60</v>
      </c>
      <c r="C33" s="141"/>
      <c r="D33" s="141"/>
      <c r="E33" s="141"/>
      <c r="F33" s="142"/>
      <c r="G33" s="76">
        <f>(G31+G32)*'Fane 15. Nøgletal'!C31</f>
        <v>257043.43207130802</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5" t="s">
        <v>160</v>
      </c>
      <c r="C36" s="136"/>
      <c r="D36" s="136"/>
      <c r="E36" s="136"/>
      <c r="F36" s="136"/>
      <c r="G36" s="143"/>
      <c r="H36" s="137"/>
      <c r="I36" s="1"/>
    </row>
    <row r="37" spans="1:9" x14ac:dyDescent="0.25">
      <c r="A37" s="1"/>
      <c r="B37" s="140" t="s">
        <v>79</v>
      </c>
      <c r="C37" s="141"/>
      <c r="D37" s="141"/>
      <c r="E37" s="141"/>
      <c r="F37" s="142"/>
      <c r="G37" s="76">
        <f>(G31+G32-G33)*(1+'Fane 15. Nøgletal'!C14)</f>
        <v>12636692.094460024</v>
      </c>
      <c r="H37" s="14" t="s">
        <v>3</v>
      </c>
      <c r="I37" s="1"/>
    </row>
    <row r="38" spans="1:9" x14ac:dyDescent="0.25">
      <c r="A38" s="1"/>
      <c r="B38" s="140" t="s">
        <v>164</v>
      </c>
      <c r="C38" s="141"/>
      <c r="D38" s="141"/>
      <c r="E38" s="141"/>
      <c r="F38" s="142"/>
      <c r="G38" s="76">
        <v>36334.626685440009</v>
      </c>
      <c r="H38" s="14" t="s">
        <v>3</v>
      </c>
      <c r="I38" s="1"/>
    </row>
    <row r="39" spans="1:9" x14ac:dyDescent="0.25">
      <c r="A39" s="1"/>
      <c r="B39" s="140" t="s">
        <v>162</v>
      </c>
      <c r="C39" s="141"/>
      <c r="D39" s="141"/>
      <c r="E39" s="141"/>
      <c r="F39" s="142"/>
      <c r="G39" s="76">
        <f>(G37+G38)*'Fane 15. Nøgletal'!C31</f>
        <v>253460.53442290929</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5" t="s">
        <v>161</v>
      </c>
      <c r="C42" s="136"/>
      <c r="D42" s="136"/>
      <c r="E42" s="136"/>
      <c r="F42" s="136"/>
      <c r="G42" s="143"/>
      <c r="H42" s="137"/>
      <c r="I42" s="1"/>
    </row>
    <row r="43" spans="1:9" x14ac:dyDescent="0.25">
      <c r="A43" s="1"/>
      <c r="B43" s="140" t="s">
        <v>228</v>
      </c>
      <c r="C43" s="141"/>
      <c r="D43" s="141"/>
      <c r="E43" s="141"/>
      <c r="F43" s="142"/>
      <c r="G43" s="76">
        <f>(G37+G38-G39)*(1+'Fane 15. Nøgletal'!C14)</f>
        <v>12460550.75513874</v>
      </c>
      <c r="H43" s="14" t="s">
        <v>3</v>
      </c>
      <c r="I43" s="1"/>
    </row>
    <row r="44" spans="1:9" x14ac:dyDescent="0.25">
      <c r="A44" s="1"/>
      <c r="B44" s="144" t="s">
        <v>230</v>
      </c>
      <c r="C44" s="145"/>
      <c r="D44" s="145"/>
      <c r="E44" s="145"/>
      <c r="F44" s="146"/>
      <c r="G44" s="80">
        <f>('Fane 2.1. Økonomisk ramme 2023'!C10+'Fane 2.1. Økonomisk ramme 2023'!C12+'Fane 2.1. Økonomisk ramme 2023'!C14)*(1+'Fane 15. Nøgletal'!C15)</f>
        <v>54525.313049760007</v>
      </c>
      <c r="H44" s="14" t="s">
        <v>3</v>
      </c>
      <c r="I44" s="1"/>
    </row>
    <row r="45" spans="1:9" x14ac:dyDescent="0.25">
      <c r="A45" s="1"/>
      <c r="B45" s="140" t="s">
        <v>163</v>
      </c>
      <c r="C45" s="141"/>
      <c r="D45" s="141"/>
      <c r="E45" s="141"/>
      <c r="F45" s="142"/>
      <c r="G45" s="76">
        <f>SUM(G43:G44)*'Fane 15. Nøgletal'!C31</f>
        <v>250301.52136377001</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5" t="s">
        <v>241</v>
      </c>
      <c r="C51" s="136"/>
      <c r="D51" s="136"/>
      <c r="E51" s="136"/>
      <c r="F51" s="136"/>
      <c r="G51" s="143"/>
      <c r="H51" s="137"/>
      <c r="I51" s="1"/>
    </row>
    <row r="52" spans="1:9" x14ac:dyDescent="0.25">
      <c r="A52" s="1"/>
      <c r="B52" s="140" t="s">
        <v>227</v>
      </c>
      <c r="C52" s="141"/>
      <c r="D52" s="141"/>
      <c r="E52" s="141"/>
      <c r="F52" s="142"/>
      <c r="G52" s="76">
        <f>(G43+G44-G45)*(1+'Fane 15. Nøgletal'!C15)</f>
        <v>12701400.520691691</v>
      </c>
      <c r="H52" s="14" t="s">
        <v>3</v>
      </c>
      <c r="I52" s="1"/>
    </row>
    <row r="53" spans="1:9" x14ac:dyDescent="0.25">
      <c r="A53" s="1"/>
      <c r="B53" s="140" t="s">
        <v>138</v>
      </c>
      <c r="C53" s="141"/>
      <c r="D53" s="141"/>
      <c r="E53" s="141"/>
      <c r="F53" s="142"/>
      <c r="G53" s="76">
        <f>(G52)*'Fane 15. Nøgletal'!C31</f>
        <v>254028.01041383384</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5" t="s">
        <v>150</v>
      </c>
      <c r="C56" s="136"/>
      <c r="D56" s="136"/>
      <c r="E56" s="136"/>
      <c r="F56" s="136"/>
      <c r="G56" s="143"/>
      <c r="H56" s="137"/>
      <c r="I56" s="1"/>
    </row>
    <row r="57" spans="1:9" x14ac:dyDescent="0.25">
      <c r="A57" s="1"/>
      <c r="B57" s="91" t="s">
        <v>151</v>
      </c>
      <c r="C57" s="92"/>
      <c r="D57" s="92"/>
      <c r="E57" s="92"/>
      <c r="F57" s="93"/>
      <c r="G57" s="76">
        <f>(G52-G53)*(1+'Fane 15. Nøgletal'!C15)</f>
        <v>12890498.971643751</v>
      </c>
      <c r="H57" s="14" t="s">
        <v>3</v>
      </c>
      <c r="I57" s="1"/>
    </row>
    <row r="58" spans="1:9" x14ac:dyDescent="0.25">
      <c r="A58" s="1"/>
      <c r="B58" s="91" t="s">
        <v>152</v>
      </c>
      <c r="C58" s="92"/>
      <c r="D58" s="92"/>
      <c r="E58" s="92"/>
      <c r="F58" s="93"/>
      <c r="G58" s="76">
        <f>(G57)*'Fane 15. Nøgletal'!C31</f>
        <v>257809.97943287503</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5" t="s">
        <v>193</v>
      </c>
      <c r="C61" s="136"/>
      <c r="D61" s="136"/>
      <c r="E61" s="136"/>
      <c r="F61" s="136"/>
      <c r="G61" s="143"/>
      <c r="H61" s="137"/>
      <c r="I61" s="1"/>
    </row>
    <row r="62" spans="1:9" x14ac:dyDescent="0.25">
      <c r="A62" s="1"/>
      <c r="B62" s="91" t="s">
        <v>194</v>
      </c>
      <c r="C62" s="92"/>
      <c r="D62" s="92"/>
      <c r="E62" s="92"/>
      <c r="F62" s="93"/>
      <c r="G62" s="76">
        <f>(G57-G58)*(1+'Fane 15. Nøgletal'!C15)</f>
        <v>13082412.720333584</v>
      </c>
      <c r="H62" s="14" t="s">
        <v>3</v>
      </c>
      <c r="I62" s="1"/>
    </row>
    <row r="63" spans="1:9" x14ac:dyDescent="0.25">
      <c r="A63" s="1"/>
      <c r="B63" s="91" t="s">
        <v>195</v>
      </c>
      <c r="C63" s="92"/>
      <c r="D63" s="92"/>
      <c r="E63" s="92"/>
      <c r="F63" s="93"/>
      <c r="G63" s="76">
        <f>(G62)*'Fane 15. Nøgletal'!C31</f>
        <v>261648.25440667168</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rGLJmgeicTiDmTyTDDxZrjv3jqgc4hwItmC/om/CvXk/jhALXrf949BJfozqKw3Q707l8ApLZvSMQPd4hVJQMw==" saltValue="mTOM3XbaYiZDMPP8sz6nrA=="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7109375" style="2" customWidth="1"/>
    <col min="2" max="5" width="9.140625" style="2"/>
    <col min="6" max="6" width="29.42578125" style="2" customWidth="1"/>
    <col min="7" max="7" width="14.140625" style="2" customWidth="1"/>
    <col min="8" max="8" width="3.28515625" style="2" customWidth="1"/>
    <col min="9" max="9" width="1.710937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5" t="s">
        <v>56</v>
      </c>
      <c r="C4" s="136"/>
      <c r="D4" s="136"/>
      <c r="E4" s="136"/>
      <c r="F4" s="136"/>
      <c r="G4" s="136"/>
      <c r="H4" s="137"/>
      <c r="I4" s="1"/>
    </row>
    <row r="5" spans="1:9" x14ac:dyDescent="0.25">
      <c r="A5" s="1"/>
      <c r="B5" s="140" t="s">
        <v>61</v>
      </c>
      <c r="C5" s="141"/>
      <c r="D5" s="141"/>
      <c r="E5" s="141"/>
      <c r="F5" s="142"/>
      <c r="G5" s="76">
        <v>9095930.5630294085</v>
      </c>
      <c r="H5" s="14" t="s">
        <v>3</v>
      </c>
      <c r="I5" s="1"/>
    </row>
    <row r="6" spans="1:9" x14ac:dyDescent="0.25">
      <c r="A6" s="1"/>
      <c r="B6" s="140" t="s">
        <v>57</v>
      </c>
      <c r="C6" s="141"/>
      <c r="D6" s="141"/>
      <c r="E6" s="141"/>
      <c r="F6" s="142"/>
      <c r="G6" s="76">
        <f>G5*'Fane 15. Nøgletal'!C20</f>
        <v>82772.968123567625</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5" t="s">
        <v>62</v>
      </c>
      <c r="C9" s="136"/>
      <c r="D9" s="136"/>
      <c r="E9" s="136"/>
      <c r="F9" s="136"/>
      <c r="G9" s="143"/>
      <c r="H9" s="137"/>
      <c r="I9" s="1"/>
    </row>
    <row r="10" spans="1:9" x14ac:dyDescent="0.25">
      <c r="A10" s="1"/>
      <c r="B10" s="140" t="s">
        <v>63</v>
      </c>
      <c r="C10" s="141"/>
      <c r="D10" s="141"/>
      <c r="E10" s="141"/>
      <c r="F10" s="142"/>
      <c r="G10" s="76">
        <f>(G5-G6)*(1+'Fane 15. Nøgletal'!C10)</f>
        <v>9170887.8528166935</v>
      </c>
      <c r="H10" s="14" t="s">
        <v>3</v>
      </c>
      <c r="I10" s="1"/>
    </row>
    <row r="11" spans="1:9" x14ac:dyDescent="0.25">
      <c r="A11" s="1"/>
      <c r="B11" s="140" t="s">
        <v>122</v>
      </c>
      <c r="C11" s="141"/>
      <c r="D11" s="141"/>
      <c r="E11" s="141"/>
      <c r="F11" s="142"/>
      <c r="G11" s="76">
        <v>625570.94856422883</v>
      </c>
      <c r="H11" s="14" t="s">
        <v>3</v>
      </c>
      <c r="I11" s="1"/>
    </row>
    <row r="12" spans="1:9" x14ac:dyDescent="0.25">
      <c r="A12" s="1"/>
      <c r="B12" s="147" t="s">
        <v>64</v>
      </c>
      <c r="C12" s="148"/>
      <c r="D12" s="148"/>
      <c r="E12" s="148"/>
      <c r="F12" s="149"/>
      <c r="G12" s="77">
        <v>0</v>
      </c>
      <c r="H12" s="14" t="s">
        <v>3</v>
      </c>
      <c r="I12" s="1"/>
    </row>
    <row r="13" spans="1:9" x14ac:dyDescent="0.25">
      <c r="A13" s="1"/>
      <c r="B13" s="140" t="s">
        <v>65</v>
      </c>
      <c r="C13" s="141"/>
      <c r="D13" s="141"/>
      <c r="E13" s="141"/>
      <c r="F13" s="142"/>
      <c r="G13" s="76">
        <f>SUM(G10:G12)*'Fane 15. Nøgletal'!C21</f>
        <v>173397.32078444233</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5" t="s">
        <v>66</v>
      </c>
      <c r="C16" s="136"/>
      <c r="D16" s="136"/>
      <c r="E16" s="136"/>
      <c r="F16" s="136"/>
      <c r="G16" s="143"/>
      <c r="H16" s="137"/>
      <c r="I16" s="1"/>
    </row>
    <row r="17" spans="1:9" x14ac:dyDescent="0.25">
      <c r="A17" s="1"/>
      <c r="B17" s="140" t="s">
        <v>67</v>
      </c>
      <c r="C17" s="141"/>
      <c r="D17" s="141"/>
      <c r="E17" s="141"/>
      <c r="F17" s="142"/>
      <c r="G17" s="76">
        <f>(SUM(G10:G12)-G13)*(1+'Fane 15. Nøgletal'!C10)</f>
        <v>9791465.0565069206</v>
      </c>
      <c r="H17" s="14" t="s">
        <v>3</v>
      </c>
      <c r="I17" s="1"/>
    </row>
    <row r="18" spans="1:9" x14ac:dyDescent="0.25">
      <c r="A18" s="1"/>
      <c r="B18" s="147" t="s">
        <v>68</v>
      </c>
      <c r="C18" s="148"/>
      <c r="D18" s="148"/>
      <c r="E18" s="148"/>
      <c r="F18" s="149"/>
      <c r="G18" s="76">
        <v>0</v>
      </c>
      <c r="H18" s="14" t="s">
        <v>3</v>
      </c>
      <c r="I18" s="1"/>
    </row>
    <row r="19" spans="1:9" x14ac:dyDescent="0.25">
      <c r="A19" s="1"/>
      <c r="B19" s="140" t="s">
        <v>69</v>
      </c>
      <c r="C19" s="141"/>
      <c r="D19" s="141"/>
      <c r="E19" s="141"/>
      <c r="F19" s="142"/>
      <c r="G19" s="76">
        <f>G17*'Fane 15. Nøgletal'!C21+G18*'Fane 15. Nøgletal'!C22</f>
        <v>173308.9315001725</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5" t="s">
        <v>70</v>
      </c>
      <c r="C22" s="136"/>
      <c r="D22" s="136"/>
      <c r="E22" s="136"/>
      <c r="F22" s="136"/>
      <c r="G22" s="143"/>
      <c r="H22" s="137"/>
      <c r="I22" s="1"/>
    </row>
    <row r="23" spans="1:9" x14ac:dyDescent="0.25">
      <c r="A23" s="1"/>
      <c r="B23" s="140" t="s">
        <v>71</v>
      </c>
      <c r="C23" s="141"/>
      <c r="D23" s="141"/>
      <c r="E23" s="141"/>
      <c r="F23" s="142"/>
      <c r="G23" s="76">
        <f>(G17+G18-G19)*(1+'Fane 15. Nøgletal'!C12)</f>
        <v>9807633.8006693814</v>
      </c>
      <c r="H23" s="14" t="s">
        <v>3</v>
      </c>
      <c r="I23" s="1"/>
    </row>
    <row r="24" spans="1:9" x14ac:dyDescent="0.25">
      <c r="A24" s="1"/>
      <c r="B24" s="147" t="s">
        <v>72</v>
      </c>
      <c r="C24" s="148"/>
      <c r="D24" s="148"/>
      <c r="E24" s="148"/>
      <c r="F24" s="149"/>
      <c r="G24" s="76">
        <v>0</v>
      </c>
      <c r="H24" s="14" t="s">
        <v>3</v>
      </c>
      <c r="I24" s="1"/>
    </row>
    <row r="25" spans="1:9" x14ac:dyDescent="0.25">
      <c r="A25" s="1"/>
      <c r="B25" s="140" t="s">
        <v>73</v>
      </c>
      <c r="C25" s="141"/>
      <c r="D25" s="141"/>
      <c r="E25" s="141"/>
      <c r="F25" s="142"/>
      <c r="G25" s="76">
        <f>(G23+G24)*'Fane 15. Nøgletal'!C23</f>
        <v>278536.79993901047</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5" t="s">
        <v>74</v>
      </c>
      <c r="C28" s="136"/>
      <c r="D28" s="136"/>
      <c r="E28" s="136"/>
      <c r="F28" s="136"/>
      <c r="G28" s="143"/>
      <c r="H28" s="137"/>
      <c r="I28" s="1"/>
    </row>
    <row r="29" spans="1:9" x14ac:dyDescent="0.25">
      <c r="A29" s="1"/>
      <c r="B29" s="140" t="s">
        <v>75</v>
      </c>
      <c r="C29" s="141"/>
      <c r="D29" s="141"/>
      <c r="E29" s="141"/>
      <c r="F29" s="142"/>
      <c r="G29" s="76">
        <f>(G23+G24-G25)*(1+'Fane 15. Nøgletal'!C12)</f>
        <v>9716820.2116447594</v>
      </c>
      <c r="H29" s="14" t="s">
        <v>3</v>
      </c>
      <c r="I29" s="1"/>
    </row>
    <row r="30" spans="1:9" x14ac:dyDescent="0.25">
      <c r="A30" s="1"/>
      <c r="B30" s="140" t="s">
        <v>139</v>
      </c>
      <c r="C30" s="141"/>
      <c r="D30" s="141"/>
      <c r="E30" s="141"/>
      <c r="F30" s="142"/>
      <c r="G30" s="76">
        <v>0</v>
      </c>
      <c r="H30" s="14" t="s">
        <v>3</v>
      </c>
      <c r="I30" s="1"/>
    </row>
    <row r="31" spans="1:9" x14ac:dyDescent="0.25">
      <c r="A31" s="1"/>
      <c r="B31" s="140" t="s">
        <v>76</v>
      </c>
      <c r="C31" s="141"/>
      <c r="D31" s="141"/>
      <c r="E31" s="141"/>
      <c r="F31" s="142"/>
      <c r="G31" s="76">
        <f>G29*'Fane 15. Nøgletal'!C23+G30*'Fane 15. Nøgletal'!C24</f>
        <v>275957.69401071116</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5" t="s">
        <v>165</v>
      </c>
      <c r="C34" s="136"/>
      <c r="D34" s="136"/>
      <c r="E34" s="136"/>
      <c r="F34" s="136"/>
      <c r="G34" s="143"/>
      <c r="H34" s="137"/>
      <c r="I34" s="1"/>
    </row>
    <row r="35" spans="1:9" x14ac:dyDescent="0.25">
      <c r="A35" s="1"/>
      <c r="B35" s="140" t="s">
        <v>78</v>
      </c>
      <c r="C35" s="141"/>
      <c r="D35" s="141"/>
      <c r="E35" s="141"/>
      <c r="F35" s="142"/>
      <c r="G35" s="76">
        <f>(G29+G30-G31)*(1+'Fane 15. Nøgletal'!C14)</f>
        <v>9472017.3639422413</v>
      </c>
      <c r="H35" s="14" t="s">
        <v>3</v>
      </c>
      <c r="I35" s="1"/>
    </row>
    <row r="36" spans="1:9" x14ac:dyDescent="0.25">
      <c r="A36" s="1"/>
      <c r="B36" s="140" t="s">
        <v>167</v>
      </c>
      <c r="C36" s="141"/>
      <c r="D36" s="141"/>
      <c r="E36" s="141"/>
      <c r="F36" s="142"/>
      <c r="G36" s="76">
        <v>0</v>
      </c>
      <c r="H36" s="14" t="s">
        <v>3</v>
      </c>
      <c r="I36" s="1"/>
    </row>
    <row r="37" spans="1:9" x14ac:dyDescent="0.25">
      <c r="A37" s="1"/>
      <c r="B37" s="140" t="s">
        <v>166</v>
      </c>
      <c r="C37" s="141"/>
      <c r="D37" s="141"/>
      <c r="E37" s="141"/>
      <c r="F37" s="142"/>
      <c r="G37" s="76">
        <f>(G35+G36)*'Fane 15. Nøgletal'!C25</f>
        <v>140185.85698634517</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5" t="s">
        <v>221</v>
      </c>
      <c r="C40" s="136"/>
      <c r="D40" s="136"/>
      <c r="E40" s="136"/>
      <c r="F40" s="136"/>
      <c r="G40" s="143"/>
      <c r="H40" s="137"/>
      <c r="I40" s="1"/>
    </row>
    <row r="41" spans="1:9" x14ac:dyDescent="0.25">
      <c r="A41" s="1"/>
      <c r="B41" s="140" t="s">
        <v>77</v>
      </c>
      <c r="C41" s="141"/>
      <c r="D41" s="141"/>
      <c r="E41" s="141"/>
      <c r="F41" s="142"/>
      <c r="G41" s="76">
        <f>(G35+G36-G37)*(1+'Fane 15. Nøgletal'!C14)</f>
        <v>9362626.5509288516</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294365.47863600001</v>
      </c>
      <c r="H42" s="14" t="s">
        <v>3</v>
      </c>
      <c r="I42" s="1"/>
    </row>
    <row r="43" spans="1:9" x14ac:dyDescent="0.25">
      <c r="A43" s="1"/>
      <c r="B43" s="140" t="s">
        <v>168</v>
      </c>
      <c r="C43" s="141"/>
      <c r="D43" s="141"/>
      <c r="E43" s="141"/>
      <c r="F43" s="142"/>
      <c r="G43" s="76">
        <f>(G41)*'Fane 15. Nøgletal'!C25+G42*'Fane 15. Nøgletal'!C26</f>
        <v>138566.87295374702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5" t="s">
        <v>242</v>
      </c>
      <c r="C52" s="136"/>
      <c r="D52" s="136"/>
      <c r="E52" s="136"/>
      <c r="F52" s="136"/>
      <c r="G52" s="143"/>
      <c r="H52" s="137"/>
      <c r="I52" s="1"/>
    </row>
    <row r="53" spans="1:9" x14ac:dyDescent="0.25">
      <c r="A53" s="1"/>
      <c r="B53" s="140" t="s">
        <v>140</v>
      </c>
      <c r="C53" s="141"/>
      <c r="D53" s="141"/>
      <c r="E53" s="141"/>
      <c r="F53" s="142"/>
      <c r="G53" s="76">
        <f>(G41+G42-G43)*(1+'Fane 15. Nøgletal'!C15)</f>
        <v>9857281.0921864621</v>
      </c>
      <c r="H53" s="14" t="s">
        <v>3</v>
      </c>
      <c r="I53" s="1"/>
    </row>
    <row r="54" spans="1:9" x14ac:dyDescent="0.25">
      <c r="A54" s="1"/>
      <c r="B54" s="140" t="s">
        <v>141</v>
      </c>
      <c r="C54" s="141"/>
      <c r="D54" s="141"/>
      <c r="E54" s="141"/>
      <c r="F54" s="142"/>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5" t="s">
        <v>153</v>
      </c>
      <c r="C57" s="136"/>
      <c r="D57" s="136"/>
      <c r="E57" s="136"/>
      <c r="F57" s="136"/>
      <c r="G57" s="143"/>
      <c r="H57" s="137"/>
      <c r="I57" s="1"/>
    </row>
    <row r="58" spans="1:9" x14ac:dyDescent="0.25">
      <c r="A58" s="1"/>
      <c r="B58" s="140" t="s">
        <v>173</v>
      </c>
      <c r="C58" s="141"/>
      <c r="D58" s="141"/>
      <c r="E58" s="141"/>
      <c r="F58" s="142"/>
      <c r="G58" s="76">
        <f>(G53-G54)*(1+'Fane 15. Nøgletal'!C15)</f>
        <v>10208200.2990683</v>
      </c>
      <c r="H58" s="14" t="s">
        <v>3</v>
      </c>
      <c r="I58" s="1"/>
    </row>
    <row r="59" spans="1:9" x14ac:dyDescent="0.25">
      <c r="A59" s="1"/>
      <c r="B59" s="140" t="s">
        <v>174</v>
      </c>
      <c r="C59" s="141"/>
      <c r="D59" s="141"/>
      <c r="E59" s="141"/>
      <c r="F59" s="142"/>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5" t="s">
        <v>196</v>
      </c>
      <c r="C62" s="136"/>
      <c r="D62" s="136"/>
      <c r="E62" s="136"/>
      <c r="F62" s="136"/>
      <c r="G62" s="143"/>
      <c r="H62" s="137"/>
      <c r="I62" s="1"/>
    </row>
    <row r="63" spans="1:9" x14ac:dyDescent="0.25">
      <c r="A63" s="1"/>
      <c r="B63" s="140" t="s">
        <v>197</v>
      </c>
      <c r="C63" s="141"/>
      <c r="D63" s="141"/>
      <c r="E63" s="141"/>
      <c r="F63" s="142"/>
      <c r="G63" s="76">
        <f>(G58-G59)*(1+'Fane 15. Nøgletal'!C15)</f>
        <v>10571612.229715133</v>
      </c>
      <c r="H63" s="14" t="s">
        <v>3</v>
      </c>
      <c r="I63" s="1"/>
    </row>
    <row r="64" spans="1:9" x14ac:dyDescent="0.25">
      <c r="A64" s="1"/>
      <c r="B64" s="140" t="s">
        <v>198</v>
      </c>
      <c r="C64" s="141"/>
      <c r="D64" s="141"/>
      <c r="E64" s="141"/>
      <c r="F64" s="142"/>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4EcDXtsMdyQEijpSC1vu1Mk3hHUazuYK0c7GLkh7I4kYQ95nO9BeXClx4cFrbb1m/j8GrPaAMUFnpaT4Db0DQA==" saltValue="4mwQfBTHI8J3dLFshnNQp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5" t="s">
        <v>10</v>
      </c>
      <c r="C8" s="136"/>
      <c r="D8" s="136"/>
      <c r="E8" s="136"/>
      <c r="F8" s="136"/>
      <c r="G8" s="137"/>
      <c r="H8" s="1"/>
    </row>
    <row r="9" spans="1:8" x14ac:dyDescent="0.25">
      <c r="A9" s="1"/>
      <c r="B9" s="140" t="s">
        <v>154</v>
      </c>
      <c r="C9" s="141"/>
      <c r="D9" s="141"/>
      <c r="E9" s="141"/>
      <c r="F9" s="142"/>
      <c r="G9" s="35">
        <v>4.2504994302094033E-3</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78VI1bHruRmyPKCcwlbV13s1hC9W/vVkxMM8vE624+ex/JiCP0j/B/K+KQoLNQ7eu5/0J8r6mv+b7Lq7gl3AgA==" saltValue="MXs5vH0/9Oz/+NL1OOPXX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2022-12-01T08:24:14Z</dcterms:modified>
</cp:coreProperties>
</file>